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240" windowWidth="19440" windowHeight="9585" tabRatio="881" activeTab="4"/>
  </bookViews>
  <sheets>
    <sheet name="DADOS" sheetId="61" r:id="rId1"/>
    <sheet name="DESPESAS GERAIS" sheetId="62" state="hidden" r:id="rId2"/>
    <sheet name="PROPOSTA DE PREÇOS POR PRODUTO" sheetId="120" state="hidden" r:id="rId3"/>
    <sheet name="DADOS_CONSULT" sheetId="156" r:id="rId4"/>
    <sheet name="CRONOGRAMA FÍSICO FINANCEIRO" sheetId="126" r:id="rId5"/>
    <sheet name="ORÇAMENTO" sheetId="109" r:id="rId6"/>
    <sheet name="CENTRAL-PBA" sheetId="153" r:id="rId7"/>
    <sheet name="CENTRAL-Campanhas de Fauna" sheetId="135" r:id="rId8"/>
    <sheet name="CENTRAL-Invent. Florestal - ASV" sheetId="150" r:id="rId9"/>
    <sheet name="CENTRAL-Malarígeno" sheetId="138" r:id="rId10"/>
    <sheet name="CENTRAL-Projeto Arqueológico" sheetId="154" r:id="rId11"/>
    <sheet name="CENTRAL-PBAI" sheetId="155" r:id="rId12"/>
    <sheet name="POLU ATMOSF" sheetId="125" state="hidden" r:id="rId13"/>
    <sheet name="CENTRAL-OUTORGA" sheetId="134" r:id="rId14"/>
  </sheets>
  <externalReferences>
    <externalReference r:id="rId15"/>
  </externalReferences>
  <definedNames>
    <definedName name="_xlnm.Print_Area" localSheetId="7">'CENTRAL-Campanhas de Fauna'!$B$2:$I$76</definedName>
    <definedName name="_xlnm.Print_Area" localSheetId="8">'CENTRAL-Invent. Florestal - ASV'!$B$2:$I$58</definedName>
    <definedName name="_xlnm.Print_Area" localSheetId="13">'CENTRAL-OUTORGA'!$B$2:$I$55</definedName>
    <definedName name="_xlnm.Print_Area" localSheetId="6">'CENTRAL-PBA'!$B$2:$I$67</definedName>
    <definedName name="_xlnm.Print_Area" localSheetId="11">'CENTRAL-PBAI'!$B$2:$I$70</definedName>
    <definedName name="_xlnm.Print_Area" localSheetId="10">'CENTRAL-Projeto Arqueológico'!$B$2:$I$57</definedName>
    <definedName name="_xlnm.Print_Area" localSheetId="4">'CRONOGRAMA FÍSICO FINANCEIRO'!$B$2:$AD$19</definedName>
    <definedName name="_xlnm.Print_Area" localSheetId="0">DADOS!$B$1:$AL$134</definedName>
    <definedName name="_xlnm.Print_Area" localSheetId="1">'DESPESAS GERAIS'!$B$1:$I$38</definedName>
    <definedName name="_xlnm.Print_Area" localSheetId="5">ORÇAMENTO!$B$1:$K$31</definedName>
    <definedName name="_xlnm.Print_Area" localSheetId="12">'POLU ATMOSF'!$B$1:$I$44</definedName>
    <definedName name="_xlnm.Print_Area" localSheetId="2">'PROPOSTA DE PREÇOS POR PRODUTO'!$B$2:$AD$37</definedName>
  </definedNames>
  <calcPr calcId="145621"/>
</workbook>
</file>

<file path=xl/calcChain.xml><?xml version="1.0" encoding="utf-8"?>
<calcChain xmlns="http://schemas.openxmlformats.org/spreadsheetml/2006/main">
  <c r="AD6" i="126" l="1"/>
  <c r="I48" i="138" l="1"/>
  <c r="I63" i="135"/>
  <c r="I49" i="135"/>
  <c r="J27" i="109" l="1"/>
  <c r="J24" i="109"/>
  <c r="J21" i="109"/>
  <c r="J15" i="109"/>
  <c r="J12" i="109"/>
  <c r="I65" i="155"/>
  <c r="I62" i="155"/>
  <c r="I60" i="155"/>
  <c r="I58" i="155"/>
  <c r="I59" i="155"/>
  <c r="I57" i="155"/>
  <c r="I54" i="155"/>
  <c r="I51" i="155"/>
  <c r="I48" i="155"/>
  <c r="I49" i="155"/>
  <c r="I50" i="155"/>
  <c r="I47" i="155"/>
  <c r="I43" i="155"/>
  <c r="I41" i="155"/>
  <c r="I38" i="155"/>
  <c r="I31" i="155"/>
  <c r="I19" i="155"/>
  <c r="H40" i="155"/>
  <c r="G40" i="155"/>
  <c r="H36" i="155"/>
  <c r="H35" i="155"/>
  <c r="G30" i="155"/>
  <c r="G29" i="155"/>
  <c r="G28" i="155"/>
  <c r="G27" i="155"/>
  <c r="G26" i="155"/>
  <c r="G25" i="155"/>
  <c r="G24" i="155"/>
  <c r="G23" i="155"/>
  <c r="G22" i="155"/>
  <c r="I45" i="154"/>
  <c r="I46" i="154"/>
  <c r="I44" i="154"/>
  <c r="I35" i="154"/>
  <c r="I36" i="154"/>
  <c r="I37" i="154"/>
  <c r="I34" i="154"/>
  <c r="H27" i="154"/>
  <c r="G27" i="154"/>
  <c r="H24" i="154"/>
  <c r="H23" i="154"/>
  <c r="G18" i="154"/>
  <c r="G17" i="154"/>
  <c r="G16" i="154"/>
  <c r="I29" i="138"/>
  <c r="I50" i="138"/>
  <c r="I47" i="138"/>
  <c r="I46" i="138"/>
  <c r="I45" i="138"/>
  <c r="I42" i="138"/>
  <c r="I38" i="138"/>
  <c r="I37" i="138"/>
  <c r="I36" i="138"/>
  <c r="I35" i="138"/>
  <c r="I39" i="138"/>
  <c r="G18" i="138"/>
  <c r="G17" i="138"/>
  <c r="G16" i="138"/>
  <c r="H24" i="138"/>
  <c r="H23" i="138"/>
  <c r="G27" i="138"/>
  <c r="H27" i="138"/>
  <c r="H28" i="150"/>
  <c r="G28" i="150"/>
  <c r="H25" i="150"/>
  <c r="H24" i="150"/>
  <c r="H23" i="150"/>
  <c r="G19" i="150"/>
  <c r="G18" i="150"/>
  <c r="G17" i="150"/>
  <c r="G16" i="150"/>
  <c r="I19" i="135"/>
  <c r="H44" i="135"/>
  <c r="H45" i="135"/>
  <c r="H43" i="135"/>
  <c r="G44" i="135"/>
  <c r="G45" i="135"/>
  <c r="G43" i="135"/>
  <c r="H38" i="135"/>
  <c r="H36" i="135"/>
  <c r="H37" i="135"/>
  <c r="H35" i="135"/>
  <c r="G30" i="135"/>
  <c r="G29" i="135"/>
  <c r="G28" i="135"/>
  <c r="G27" i="135"/>
  <c r="G26" i="135"/>
  <c r="G25" i="135"/>
  <c r="G24" i="135"/>
  <c r="G23" i="135"/>
  <c r="G22" i="135"/>
  <c r="I35" i="153"/>
  <c r="I62" i="153"/>
  <c r="I60" i="153"/>
  <c r="I58" i="153"/>
  <c r="I56" i="153"/>
  <c r="I57" i="153"/>
  <c r="I55" i="153"/>
  <c r="I52" i="153"/>
  <c r="I49" i="153"/>
  <c r="I46" i="153"/>
  <c r="I47" i="153"/>
  <c r="I48" i="153"/>
  <c r="I45" i="153"/>
  <c r="I41" i="153"/>
  <c r="I39" i="153"/>
  <c r="H35" i="153"/>
  <c r="H38" i="153"/>
  <c r="G38" i="153"/>
  <c r="C18" i="153"/>
  <c r="G30" i="153"/>
  <c r="G29" i="153"/>
  <c r="G28" i="153"/>
  <c r="G27" i="153"/>
  <c r="C9" i="153"/>
  <c r="G26" i="153"/>
  <c r="G25" i="153"/>
  <c r="G24" i="153"/>
  <c r="G23" i="153"/>
  <c r="G22" i="153"/>
  <c r="I47" i="134"/>
  <c r="I43" i="134"/>
  <c r="I44" i="134"/>
  <c r="I42" i="134"/>
  <c r="I39" i="134"/>
  <c r="I36" i="134"/>
  <c r="I33" i="134"/>
  <c r="I34" i="134"/>
  <c r="I35" i="134"/>
  <c r="I32" i="134"/>
  <c r="I28" i="134"/>
  <c r="H22" i="134"/>
  <c r="H21" i="134"/>
  <c r="G15" i="134"/>
  <c r="G14" i="134"/>
  <c r="H25" i="134"/>
  <c r="G25" i="134"/>
  <c r="I47" i="154" l="1"/>
  <c r="I38" i="154"/>
  <c r="H9" i="134"/>
  <c r="H10" i="134"/>
  <c r="C10" i="134"/>
  <c r="C9" i="134"/>
  <c r="H18" i="155"/>
  <c r="H17" i="155"/>
  <c r="H16" i="155"/>
  <c r="H15" i="155"/>
  <c r="H13" i="155"/>
  <c r="H12" i="155"/>
  <c r="H11" i="155"/>
  <c r="H10" i="155"/>
  <c r="H9" i="155"/>
  <c r="C18" i="155"/>
  <c r="C17" i="155"/>
  <c r="C16" i="155"/>
  <c r="C15" i="155"/>
  <c r="C13" i="155"/>
  <c r="C12" i="155"/>
  <c r="C11" i="155"/>
  <c r="C10" i="155"/>
  <c r="C9" i="155"/>
  <c r="H9" i="154"/>
  <c r="H11" i="154"/>
  <c r="H12" i="154"/>
  <c r="C12" i="154"/>
  <c r="C11" i="154"/>
  <c r="C9" i="154"/>
  <c r="H12" i="138"/>
  <c r="C12" i="138"/>
  <c r="H11" i="138"/>
  <c r="C11" i="138"/>
  <c r="H9" i="138"/>
  <c r="C9" i="138"/>
  <c r="H13" i="150"/>
  <c r="C13" i="150"/>
  <c r="H10" i="150"/>
  <c r="C10" i="150"/>
  <c r="H12" i="150"/>
  <c r="C12" i="150"/>
  <c r="H9" i="150"/>
  <c r="C9" i="150"/>
  <c r="H18" i="135"/>
  <c r="H16" i="135"/>
  <c r="H14" i="135"/>
  <c r="H17" i="135"/>
  <c r="H15" i="135"/>
  <c r="H13" i="135"/>
  <c r="H11" i="135"/>
  <c r="H10" i="135"/>
  <c r="H9" i="135"/>
  <c r="C18" i="135"/>
  <c r="C16" i="135"/>
  <c r="C14" i="135"/>
  <c r="C17" i="135"/>
  <c r="C15" i="135"/>
  <c r="C13" i="135"/>
  <c r="C11" i="135"/>
  <c r="C10" i="135"/>
  <c r="C9" i="135"/>
  <c r="H18" i="153"/>
  <c r="H17" i="153"/>
  <c r="H15" i="153"/>
  <c r="H14" i="153"/>
  <c r="H13" i="153"/>
  <c r="H12" i="153" l="1"/>
  <c r="H11" i="153"/>
  <c r="H10" i="153"/>
  <c r="H9" i="153"/>
  <c r="C17" i="153"/>
  <c r="C15" i="153"/>
  <c r="C12" i="153"/>
  <c r="C11" i="153"/>
  <c r="C13" i="153"/>
  <c r="C14" i="153"/>
  <c r="C10" i="153"/>
  <c r="B2" i="154" l="1"/>
  <c r="B2" i="138"/>
  <c r="B2" i="150"/>
  <c r="B2" i="135"/>
  <c r="B2" i="153"/>
  <c r="F35" i="135"/>
  <c r="B25" i="134" l="1"/>
  <c r="G22" i="134" l="1"/>
  <c r="I22" i="134" s="1"/>
  <c r="G21" i="134"/>
  <c r="I21" i="134" s="1"/>
  <c r="I36" i="155"/>
  <c r="G11" i="155"/>
  <c r="G12" i="155"/>
  <c r="G13" i="155"/>
  <c r="H37" i="155"/>
  <c r="I37" i="155" s="1"/>
  <c r="H34" i="155"/>
  <c r="I34" i="155" s="1"/>
  <c r="G18" i="155"/>
  <c r="G17" i="155"/>
  <c r="G16" i="155"/>
  <c r="G15" i="155"/>
  <c r="G10" i="155"/>
  <c r="G9" i="155"/>
  <c r="B4" i="155"/>
  <c r="G12" i="138"/>
  <c r="G11" i="138"/>
  <c r="G10" i="150"/>
  <c r="I10" i="150" s="1"/>
  <c r="I17" i="150" s="1"/>
  <c r="G9" i="150"/>
  <c r="G12" i="154"/>
  <c r="G11" i="154"/>
  <c r="B27" i="154"/>
  <c r="I24" i="154"/>
  <c r="I23" i="154"/>
  <c r="H22" i="154"/>
  <c r="I22" i="154" s="1"/>
  <c r="G9" i="154"/>
  <c r="B4" i="154"/>
  <c r="I16" i="153"/>
  <c r="G18" i="153"/>
  <c r="G17" i="153"/>
  <c r="G15" i="153"/>
  <c r="G14" i="153"/>
  <c r="G12" i="153"/>
  <c r="I12" i="153" s="1"/>
  <c r="I25" i="153" s="1"/>
  <c r="H34" i="153"/>
  <c r="I34" i="153" s="1"/>
  <c r="G13" i="153"/>
  <c r="G11" i="153"/>
  <c r="G10" i="153"/>
  <c r="G9" i="153"/>
  <c r="B4" i="153"/>
  <c r="I24" i="138"/>
  <c r="I23" i="138"/>
  <c r="H22" i="138"/>
  <c r="I22" i="138" s="1"/>
  <c r="B27" i="138"/>
  <c r="G9" i="138"/>
  <c r="I25" i="150"/>
  <c r="I24" i="150"/>
  <c r="I23" i="150"/>
  <c r="B28" i="150"/>
  <c r="G11" i="135"/>
  <c r="I38" i="135"/>
  <c r="I37" i="135"/>
  <c r="I36" i="135"/>
  <c r="H34" i="135"/>
  <c r="I34" i="135" s="1"/>
  <c r="H40" i="135"/>
  <c r="I40" i="135" s="1"/>
  <c r="H39" i="135"/>
  <c r="I39" i="135" s="1"/>
  <c r="I25" i="154" l="1"/>
  <c r="I45" i="134"/>
  <c r="I23" i="134"/>
  <c r="I12" i="155"/>
  <c r="I25" i="155" s="1"/>
  <c r="I11" i="155"/>
  <c r="I24" i="155" s="1"/>
  <c r="I13" i="155"/>
  <c r="I26" i="155" s="1"/>
  <c r="I15" i="155"/>
  <c r="I27" i="155" s="1"/>
  <c r="I9" i="155"/>
  <c r="I40" i="155"/>
  <c r="I10" i="155"/>
  <c r="I23" i="155" s="1"/>
  <c r="I18" i="155"/>
  <c r="I30" i="155" s="1"/>
  <c r="I35" i="155"/>
  <c r="I16" i="155"/>
  <c r="I28" i="155" s="1"/>
  <c r="I17" i="155"/>
  <c r="I29" i="155" s="1"/>
  <c r="I12" i="138"/>
  <c r="I18" i="138" s="1"/>
  <c r="I11" i="138"/>
  <c r="I17" i="138" s="1"/>
  <c r="I25" i="138"/>
  <c r="I12" i="154"/>
  <c r="I18" i="154" s="1"/>
  <c r="I9" i="150"/>
  <c r="I11" i="154"/>
  <c r="I17" i="154" s="1"/>
  <c r="I9" i="154"/>
  <c r="I27" i="154"/>
  <c r="I26" i="150"/>
  <c r="I11" i="153"/>
  <c r="I24" i="153" s="1"/>
  <c r="I10" i="153"/>
  <c r="I23" i="153" s="1"/>
  <c r="I13" i="153"/>
  <c r="I26" i="153" s="1"/>
  <c r="I15" i="153"/>
  <c r="I28" i="153" s="1"/>
  <c r="I17" i="153"/>
  <c r="I29" i="153" s="1"/>
  <c r="I14" i="153"/>
  <c r="I27" i="153" s="1"/>
  <c r="I18" i="153"/>
  <c r="I30" i="153" s="1"/>
  <c r="I38" i="153"/>
  <c r="I9" i="153"/>
  <c r="I9" i="138"/>
  <c r="I11" i="135"/>
  <c r="I24" i="135" s="1"/>
  <c r="I44" i="135"/>
  <c r="I45" i="135"/>
  <c r="I35" i="135"/>
  <c r="I41" i="135" s="1"/>
  <c r="G18" i="135"/>
  <c r="I18" i="135" s="1"/>
  <c r="I30" i="135" s="1"/>
  <c r="G17" i="135"/>
  <c r="I17" i="135" s="1"/>
  <c r="I29" i="135" s="1"/>
  <c r="G16" i="135"/>
  <c r="G15" i="135"/>
  <c r="G14" i="135"/>
  <c r="I14" i="135" s="1"/>
  <c r="I26" i="135" s="1"/>
  <c r="G13" i="135"/>
  <c r="I13" i="135" s="1"/>
  <c r="I25" i="135" s="1"/>
  <c r="G10" i="135"/>
  <c r="G9" i="135"/>
  <c r="I22" i="155" l="1"/>
  <c r="I28" i="154"/>
  <c r="I16" i="154"/>
  <c r="I19" i="154" s="1"/>
  <c r="I13" i="154"/>
  <c r="I16" i="138"/>
  <c r="I19" i="138" s="1"/>
  <c r="I13" i="138"/>
  <c r="I16" i="150"/>
  <c r="I19" i="153"/>
  <c r="I22" i="153"/>
  <c r="I31" i="153" s="1"/>
  <c r="I36" i="153"/>
  <c r="I16" i="135"/>
  <c r="I28" i="135" s="1"/>
  <c r="I15" i="135"/>
  <c r="I27" i="135" s="1"/>
  <c r="I10" i="135"/>
  <c r="I23" i="135" s="1"/>
  <c r="I9" i="135"/>
  <c r="I43" i="135"/>
  <c r="I46" i="135" s="1"/>
  <c r="I47" i="135" s="1"/>
  <c r="I30" i="154" l="1"/>
  <c r="I41" i="154" s="1"/>
  <c r="I49" i="154" s="1"/>
  <c r="I52" i="154" s="1"/>
  <c r="I22" i="135"/>
  <c r="I31" i="135" s="1"/>
  <c r="I55" i="135" l="1"/>
  <c r="I65" i="135"/>
  <c r="I56" i="135"/>
  <c r="I64" i="135"/>
  <c r="I53" i="135"/>
  <c r="I66" i="135"/>
  <c r="I60" i="135"/>
  <c r="I54" i="135"/>
  <c r="I57" i="135" l="1"/>
  <c r="I68" i="135" s="1"/>
  <c r="I71" i="135" s="1"/>
  <c r="J9" i="109" s="1"/>
  <c r="K24" i="109"/>
  <c r="AD14" i="126" s="1"/>
  <c r="AB14" i="126" s="1"/>
  <c r="AE14" i="126" s="1"/>
  <c r="K21" i="109"/>
  <c r="AD13" i="126" s="1"/>
  <c r="I13" i="126" s="1"/>
  <c r="AE13" i="126" s="1"/>
  <c r="I28" i="150" l="1"/>
  <c r="I29" i="150" s="1"/>
  <c r="G13" i="150"/>
  <c r="I13" i="150" s="1"/>
  <c r="I19" i="150" s="1"/>
  <c r="G12" i="150"/>
  <c r="I12" i="150" s="1"/>
  <c r="I14" i="150" s="1"/>
  <c r="B4" i="150"/>
  <c r="I18" i="150" l="1"/>
  <c r="I20" i="150" s="1"/>
  <c r="I31" i="150"/>
  <c r="I46" i="150" l="1"/>
  <c r="I42" i="150"/>
  <c r="I37" i="150"/>
  <c r="I36" i="150"/>
  <c r="I35" i="150"/>
  <c r="I45" i="150"/>
  <c r="I38" i="150"/>
  <c r="I47" i="150"/>
  <c r="I48" i="150" s="1"/>
  <c r="I39" i="150" l="1"/>
  <c r="I50" i="150" s="1"/>
  <c r="I53" i="150" s="1"/>
  <c r="B2" i="126" l="1"/>
  <c r="E4" i="61"/>
  <c r="B4" i="135" l="1"/>
  <c r="B4" i="138"/>
  <c r="B2" i="125" l="1"/>
  <c r="B4" i="125"/>
  <c r="G9" i="125"/>
  <c r="C10" i="125"/>
  <c r="G10" i="125"/>
  <c r="AD8" i="120" l="1"/>
  <c r="G10" i="134" l="1"/>
  <c r="G9" i="134"/>
  <c r="B4" i="134"/>
  <c r="H8" i="62"/>
  <c r="I8" i="62" s="1"/>
  <c r="B22" i="125"/>
  <c r="F13" i="61"/>
  <c r="J15" i="62"/>
  <c r="C15" i="62" s="1"/>
  <c r="J13" i="62"/>
  <c r="C13" i="62" s="1"/>
  <c r="J19" i="62"/>
  <c r="J17" i="62"/>
  <c r="C17" i="62" s="1"/>
  <c r="G22" i="125"/>
  <c r="H18" i="62"/>
  <c r="H17" i="62"/>
  <c r="AG18" i="120"/>
  <c r="B2" i="120"/>
  <c r="B28" i="62"/>
  <c r="H16" i="62"/>
  <c r="H15" i="62"/>
  <c r="H22" i="62"/>
  <c r="I22" i="62" s="1"/>
  <c r="H21" i="62"/>
  <c r="I21" i="62" s="1"/>
  <c r="H20" i="62"/>
  <c r="I20" i="62" s="1"/>
  <c r="H19" i="62"/>
  <c r="I19" i="62" s="1"/>
  <c r="H12" i="62"/>
  <c r="I12" i="62" s="1"/>
  <c r="H11" i="62"/>
  <c r="I11" i="62" s="1"/>
  <c r="F33" i="62"/>
  <c r="F32" i="62"/>
  <c r="B4" i="109"/>
  <c r="B2" i="109"/>
  <c r="H14" i="62"/>
  <c r="H10" i="62"/>
  <c r="I10" i="62" s="1"/>
  <c r="H13" i="62"/>
  <c r="H9" i="62"/>
  <c r="I9" i="62" s="1"/>
  <c r="F30" i="62"/>
  <c r="F29" i="62"/>
  <c r="J5" i="61"/>
  <c r="J6" i="61" s="1"/>
  <c r="E5" i="61"/>
  <c r="E6" i="61" s="1"/>
  <c r="B4" i="62"/>
  <c r="B2" i="62"/>
  <c r="F28" i="62"/>
  <c r="K4" i="61"/>
  <c r="J4" i="61"/>
  <c r="E8" i="61" l="1"/>
  <c r="F8" i="61" s="1"/>
  <c r="K5" i="61"/>
  <c r="K6" i="61" s="1"/>
  <c r="J12" i="61"/>
  <c r="K12" i="61" s="1"/>
  <c r="J9" i="61"/>
  <c r="K9" i="61" s="1"/>
  <c r="J11" i="61"/>
  <c r="K11" i="61" s="1"/>
  <c r="J10" i="61"/>
  <c r="K10" i="61" s="1"/>
  <c r="I15" i="62"/>
  <c r="I16" i="62"/>
  <c r="H9" i="125"/>
  <c r="I9" i="125" s="1"/>
  <c r="I9" i="134"/>
  <c r="I14" i="134" s="1"/>
  <c r="I18" i="62"/>
  <c r="I14" i="62"/>
  <c r="I13" i="62"/>
  <c r="I17" i="62"/>
  <c r="J8" i="61"/>
  <c r="E23" i="61"/>
  <c r="F23" i="61" s="1"/>
  <c r="E22" i="61"/>
  <c r="F22" i="61" s="1"/>
  <c r="E21" i="61"/>
  <c r="E20" i="61"/>
  <c r="E19" i="61"/>
  <c r="F19" i="61" s="1"/>
  <c r="E18" i="61"/>
  <c r="F18" i="61" s="1"/>
  <c r="E17" i="61"/>
  <c r="F17" i="61" s="1"/>
  <c r="E16" i="61"/>
  <c r="E15" i="61"/>
  <c r="F15" i="61" s="1"/>
  <c r="E14" i="61"/>
  <c r="F14" i="61" s="1"/>
  <c r="E11" i="61"/>
  <c r="E10" i="61"/>
  <c r="E9" i="61"/>
  <c r="E12" i="61"/>
  <c r="J43" i="61"/>
  <c r="K43" i="61" s="1"/>
  <c r="J17" i="61"/>
  <c r="J18" i="61"/>
  <c r="K18" i="61" s="1"/>
  <c r="J19" i="61"/>
  <c r="K19" i="61" s="1"/>
  <c r="J21" i="61"/>
  <c r="K21" i="61" s="1"/>
  <c r="J22" i="61"/>
  <c r="K22" i="61" s="1"/>
  <c r="J20" i="61"/>
  <c r="K20" i="61" s="1"/>
  <c r="J16" i="61"/>
  <c r="K16" i="61" s="1"/>
  <c r="J33" i="61"/>
  <c r="K33" i="61" s="1"/>
  <c r="J34" i="61"/>
  <c r="J32" i="61"/>
  <c r="J38" i="61"/>
  <c r="J39" i="61"/>
  <c r="K17" i="61" l="1"/>
  <c r="F11" i="61"/>
  <c r="F10" i="61"/>
  <c r="F16" i="61"/>
  <c r="G28" i="62"/>
  <c r="H28" i="62" s="1"/>
  <c r="F20" i="61"/>
  <c r="F21" i="61"/>
  <c r="F12" i="61"/>
  <c r="H10" i="125"/>
  <c r="I10" i="125" s="1"/>
  <c r="I11" i="125" s="1"/>
  <c r="F9" i="61"/>
  <c r="I23" i="62"/>
  <c r="K8" i="61"/>
  <c r="I10" i="134"/>
  <c r="G33" i="62"/>
  <c r="H33" i="62" s="1"/>
  <c r="K39" i="61"/>
  <c r="G30" i="62"/>
  <c r="K38" i="61"/>
  <c r="G32" i="62"/>
  <c r="H32" i="62" s="1"/>
  <c r="K34" i="61"/>
  <c r="K32" i="61"/>
  <c r="G29" i="62"/>
  <c r="I11" i="134" l="1"/>
  <c r="I15" i="134"/>
  <c r="I16" i="134" s="1"/>
  <c r="I27" i="138"/>
  <c r="I28" i="138" s="1"/>
  <c r="I31" i="138" s="1"/>
  <c r="H14" i="125"/>
  <c r="I14" i="125" s="1"/>
  <c r="H17" i="125"/>
  <c r="I17" i="125" s="1"/>
  <c r="I25" i="134"/>
  <c r="H22" i="125"/>
  <c r="I22" i="125" s="1"/>
  <c r="H34" i="62"/>
  <c r="H30" i="62"/>
  <c r="H29" i="62"/>
  <c r="I53" i="138" l="1"/>
  <c r="J18" i="109" s="1"/>
  <c r="K18" i="109" s="1"/>
  <c r="AD11" i="126" s="1"/>
  <c r="F11" i="126" s="1"/>
  <c r="AE11" i="126" s="1"/>
  <c r="I26" i="134"/>
  <c r="I49" i="134" s="1"/>
  <c r="H31" i="62"/>
  <c r="H36" i="62" s="1"/>
  <c r="I38" i="62" s="1"/>
  <c r="I25" i="125"/>
  <c r="H29" i="125" s="1"/>
  <c r="K12" i="109" l="1"/>
  <c r="AD10" i="126" s="1"/>
  <c r="G10" i="126" s="1"/>
  <c r="AE10" i="126" s="1"/>
  <c r="K27" i="109"/>
  <c r="AD15" i="126" s="1"/>
  <c r="G15" i="126" s="1"/>
  <c r="AE15" i="126" s="1"/>
  <c r="I29" i="125"/>
  <c r="H31" i="125" s="1"/>
  <c r="I31" i="125" s="1"/>
  <c r="AE25" i="120" l="1"/>
  <c r="AE24" i="120"/>
  <c r="I33" i="125"/>
  <c r="I35" i="125" s="1"/>
  <c r="K9" i="109" l="1"/>
  <c r="AD9" i="126" s="1"/>
  <c r="AE29" i="120"/>
  <c r="P9" i="126" l="1"/>
  <c r="G9" i="126"/>
  <c r="J9" i="126"/>
  <c r="M9" i="126"/>
  <c r="AE13" i="120"/>
  <c r="AE26" i="120"/>
  <c r="K15" i="109"/>
  <c r="AD12" i="126" s="1"/>
  <c r="H12" i="126" s="1"/>
  <c r="AE12" i="126" s="1"/>
  <c r="AE22" i="120"/>
  <c r="X19" i="126" l="1"/>
  <c r="W19" i="126"/>
  <c r="U19" i="126"/>
  <c r="T19" i="126"/>
  <c r="AE9" i="126"/>
  <c r="AA19" i="126"/>
  <c r="Z19" i="126"/>
  <c r="K29" i="109"/>
  <c r="K31" i="109" s="1"/>
  <c r="AF13" i="120"/>
  <c r="AE21" i="120"/>
  <c r="AE16" i="120"/>
  <c r="AE20" i="120"/>
  <c r="AE33" i="120"/>
  <c r="AE18" i="120"/>
  <c r="AE23" i="120"/>
  <c r="AE19" i="120"/>
  <c r="AE17" i="120"/>
  <c r="AB19" i="126" l="1"/>
  <c r="S19" i="126"/>
  <c r="V19" i="126"/>
  <c r="Y19" i="126"/>
  <c r="AC33" i="120" l="1"/>
  <c r="AC31" i="120"/>
  <c r="O19" i="126"/>
  <c r="K19" i="126"/>
  <c r="G19" i="126"/>
  <c r="R19" i="126"/>
  <c r="M19" i="126"/>
  <c r="Q19" i="126"/>
  <c r="E19" i="126" l="1"/>
  <c r="I19" i="126" l="1"/>
  <c r="AD19" i="126"/>
  <c r="AB17" i="126" l="1"/>
  <c r="M17" i="126"/>
  <c r="M35" i="120" s="1"/>
  <c r="AC21" i="120"/>
  <c r="O17" i="126"/>
  <c r="O35" i="120" s="1"/>
  <c r="AC9" i="126"/>
  <c r="AC22" i="120" s="1"/>
  <c r="AC16" i="120"/>
  <c r="AC14" i="126"/>
  <c r="AC27" i="120" s="1"/>
  <c r="AC11" i="126"/>
  <c r="AC24" i="120" s="1"/>
  <c r="V17" i="126"/>
  <c r="AB35" i="120" s="1"/>
  <c r="AC19" i="120"/>
  <c r="I17" i="126"/>
  <c r="I35" i="120" s="1"/>
  <c r="AC15" i="120"/>
  <c r="AC13" i="126"/>
  <c r="AC26" i="120" s="1"/>
  <c r="K17" i="126"/>
  <c r="K35" i="120" s="1"/>
  <c r="Z17" i="126"/>
  <c r="G17" i="126"/>
  <c r="G35" i="120" s="1"/>
  <c r="AC17" i="120"/>
  <c r="E17" i="126"/>
  <c r="Y17" i="126"/>
  <c r="AC10" i="126"/>
  <c r="AC23" i="120" s="1"/>
  <c r="AA17" i="126"/>
  <c r="T17" i="126"/>
  <c r="T35" i="120" s="1"/>
  <c r="Q17" i="126"/>
  <c r="Q35" i="120" s="1"/>
  <c r="W17" i="126"/>
  <c r="S17" i="126"/>
  <c r="S35" i="120" s="1"/>
  <c r="U17" i="126"/>
  <c r="U35" i="120" s="1"/>
  <c r="R17" i="126"/>
  <c r="R35" i="120" s="1"/>
  <c r="AC12" i="126"/>
  <c r="AC25" i="120" s="1"/>
  <c r="X17" i="126"/>
  <c r="AC15" i="126"/>
  <c r="AC29" i="120" s="1"/>
  <c r="AC18" i="120"/>
  <c r="AE18" i="126"/>
  <c r="AC13" i="120" l="1"/>
  <c r="E18" i="126"/>
  <c r="E35" i="120"/>
  <c r="L19" i="126"/>
  <c r="L17" i="126" s="1"/>
  <c r="L35" i="120" s="1"/>
  <c r="H19" i="126"/>
  <c r="H17" i="126" s="1"/>
  <c r="H35" i="120" s="1"/>
  <c r="P19" i="126"/>
  <c r="P17" i="126" s="1"/>
  <c r="P35" i="120" s="1"/>
  <c r="AC20" i="120"/>
  <c r="J19" i="126"/>
  <c r="J17" i="126" s="1"/>
  <c r="J35" i="120" s="1"/>
  <c r="N19" i="126"/>
  <c r="N17" i="126" s="1"/>
  <c r="N35" i="120" s="1"/>
  <c r="AF33" i="120" l="1"/>
  <c r="AC19" i="126"/>
  <c r="AC16" i="126"/>
  <c r="F19" i="126"/>
  <c r="E36" i="120"/>
  <c r="F17" i="126" l="1"/>
  <c r="AD17" i="126" s="1"/>
  <c r="AE19" i="126"/>
  <c r="F35" i="120" l="1"/>
  <c r="F18" i="126"/>
  <c r="G18" i="126" s="1"/>
  <c r="H18" i="126" s="1"/>
  <c r="I18" i="126" s="1"/>
  <c r="J18" i="126" s="1"/>
  <c r="K18" i="126" s="1"/>
  <c r="L18" i="126" s="1"/>
  <c r="M18" i="126" s="1"/>
  <c r="N18" i="126" s="1"/>
  <c r="O18" i="126" s="1"/>
  <c r="P18" i="126" s="1"/>
  <c r="Q18" i="126" s="1"/>
  <c r="R18" i="126" s="1"/>
  <c r="S18" i="126" s="1"/>
  <c r="T18" i="126" s="1"/>
  <c r="U18" i="126" s="1"/>
  <c r="V18" i="126" s="1"/>
  <c r="W18" i="126" s="1"/>
  <c r="X18" i="126" s="1"/>
  <c r="Y18" i="126" s="1"/>
  <c r="Z18" i="126" s="1"/>
  <c r="AA18" i="126" s="1"/>
  <c r="AB18" i="126" s="1"/>
  <c r="F36" i="120" l="1"/>
  <c r="G36" i="120" s="1"/>
  <c r="H36" i="120" s="1"/>
  <c r="I36" i="120" s="1"/>
  <c r="J36" i="120" s="1"/>
  <c r="K36" i="120" s="1"/>
  <c r="L36" i="120" s="1"/>
  <c r="M36" i="120" s="1"/>
  <c r="N36" i="120" s="1"/>
  <c r="O36" i="120" s="1"/>
  <c r="P36" i="120" s="1"/>
  <c r="Q36" i="120" s="1"/>
  <c r="R36" i="120" s="1"/>
  <c r="S36" i="120" s="1"/>
  <c r="T36" i="120" s="1"/>
  <c r="U36" i="120" s="1"/>
  <c r="AB36" i="120" s="1"/>
  <c r="AC35" i="120"/>
</calcChain>
</file>

<file path=xl/sharedStrings.xml><?xml version="1.0" encoding="utf-8"?>
<sst xmlns="http://schemas.openxmlformats.org/spreadsheetml/2006/main" count="1789" uniqueCount="592">
  <si>
    <t>SALÁRIOS DA EQUIPE</t>
  </si>
  <si>
    <t>NÍVEL</t>
  </si>
  <si>
    <t>P0</t>
  </si>
  <si>
    <t>P1</t>
  </si>
  <si>
    <t>P2</t>
  </si>
  <si>
    <t>P3</t>
  </si>
  <si>
    <t>P4</t>
  </si>
  <si>
    <t>T0</t>
  </si>
  <si>
    <t>T1</t>
  </si>
  <si>
    <t>T2</t>
  </si>
  <si>
    <t>T4</t>
  </si>
  <si>
    <t>A0</t>
  </si>
  <si>
    <t>A1</t>
  </si>
  <si>
    <t>A2</t>
  </si>
  <si>
    <t>TOTAL</t>
  </si>
  <si>
    <t>R$</t>
  </si>
  <si>
    <t>T3</t>
  </si>
  <si>
    <t>A3</t>
  </si>
  <si>
    <t>A4</t>
  </si>
  <si>
    <t>DIÁRIAS</t>
  </si>
  <si>
    <t>VEÍCULOS</t>
  </si>
  <si>
    <t>TIPO</t>
  </si>
  <si>
    <t>MËS</t>
  </si>
  <si>
    <t>DIA</t>
  </si>
  <si>
    <t>EQUIPAMENTOS</t>
  </si>
  <si>
    <t>SERVIÇOS GRÁFICOS</t>
  </si>
  <si>
    <t>MÊS</t>
  </si>
  <si>
    <t>ÍNDICE</t>
  </si>
  <si>
    <t>IMÓVEIS</t>
  </si>
  <si>
    <t>MOBILIÁRIO</t>
  </si>
  <si>
    <t>QUANTIDADE</t>
  </si>
  <si>
    <t>DISCRIMINAÇÃO</t>
  </si>
  <si>
    <t>UNIDADE</t>
  </si>
  <si>
    <t>CUSTO UNIT.</t>
  </si>
  <si>
    <t>CUSTO TOTAL</t>
  </si>
  <si>
    <t>mês</t>
  </si>
  <si>
    <t>FOLHA DE DADOS</t>
  </si>
  <si>
    <t>I - CUSTOS DIRETOS</t>
  </si>
  <si>
    <t>II - CUSTOS INDIRETOS</t>
  </si>
  <si>
    <t>CONSULTOR ESPECIAL</t>
  </si>
  <si>
    <t>SERVENTES/CONTÍNUOS</t>
  </si>
  <si>
    <t>VIGIAS</t>
  </si>
  <si>
    <t>mês/ano</t>
  </si>
  <si>
    <t>indice</t>
  </si>
  <si>
    <t>k</t>
  </si>
  <si>
    <t>DESPESAS GERAIS</t>
  </si>
  <si>
    <t>Unidade</t>
  </si>
  <si>
    <t>SECRETÁRIA</t>
  </si>
  <si>
    <t>Quant.</t>
  </si>
  <si>
    <t>Total</t>
  </si>
  <si>
    <t>Valor Unit.</t>
  </si>
  <si>
    <t>DESCRIÇÃO</t>
  </si>
  <si>
    <t>CUSTO</t>
  </si>
  <si>
    <t>A-EQUIPE</t>
  </si>
  <si>
    <t>UNIT.</t>
  </si>
  <si>
    <t>Profissional</t>
  </si>
  <si>
    <t>Nível</t>
  </si>
  <si>
    <t>Prof.</t>
  </si>
  <si>
    <t>B-ENCARGOS SOCIAIS</t>
  </si>
  <si>
    <t>C-CUSTOS ADMINISTRATIVOS</t>
  </si>
  <si>
    <t>Dias</t>
  </si>
  <si>
    <t>Mês</t>
  </si>
  <si>
    <t>Descrição</t>
  </si>
  <si>
    <t>Meses</t>
  </si>
  <si>
    <t>(1)</t>
  </si>
  <si>
    <t>Valor Total R$</t>
  </si>
  <si>
    <t>ESCRITÓRIO - IMÓVEL</t>
  </si>
  <si>
    <t>GPS</t>
  </si>
  <si>
    <t>QUANT.</t>
  </si>
  <si>
    <t>FORMATO</t>
  </si>
  <si>
    <t>NÚMERO DE FOLHAS</t>
  </si>
  <si>
    <t>TIPO DE CÓPIA</t>
  </si>
  <si>
    <t>Xerox</t>
  </si>
  <si>
    <t>CUSTO UNITÁRIO</t>
  </si>
  <si>
    <t>Auxiliar Técnico</t>
  </si>
  <si>
    <t>Especialista Ambiental</t>
  </si>
  <si>
    <t>TOTAL DOS CUSTOS DIRETOS</t>
  </si>
  <si>
    <t>A1/A3</t>
  </si>
  <si>
    <t>VALOR DE DIÁRIAS</t>
  </si>
  <si>
    <t>Deslocamento</t>
  </si>
  <si>
    <t>BSB, MAO, RIO</t>
  </si>
  <si>
    <t>BH, FOR, POA, REC, SSA, SAO</t>
  </si>
  <si>
    <t>OCE</t>
  </si>
  <si>
    <t>DD</t>
  </si>
  <si>
    <t xml:space="preserve">P4, T0, T1 </t>
  </si>
  <si>
    <t>Demais categorias</t>
  </si>
  <si>
    <t>Adicional de Embarque e Desembarque ( por viagem) - R$ 95,00</t>
  </si>
  <si>
    <t>Deslocamento - Siglas utlizadas</t>
  </si>
  <si>
    <t>BSB - Brasília</t>
  </si>
  <si>
    <t>FOR - Fortaleza</t>
  </si>
  <si>
    <t>SAO - São Paulo</t>
  </si>
  <si>
    <t>MAO - Manaus</t>
  </si>
  <si>
    <t>POA - Porto Alegre</t>
  </si>
  <si>
    <t>OCE - Outras Capitais de Estados</t>
  </si>
  <si>
    <t>RIO - Rio de Janeiro</t>
  </si>
  <si>
    <t>REC - Recife</t>
  </si>
  <si>
    <t>DD - Demais Deslocamentos</t>
  </si>
  <si>
    <t>BH - Belo Horizonte</t>
  </si>
  <si>
    <t>SSA - Salvador</t>
  </si>
  <si>
    <t>COORDENADOR</t>
  </si>
  <si>
    <t>ENGENHEIRO PROFISSIONAL SÊNIOR</t>
  </si>
  <si>
    <t>ENGENHEIRO PROFISSIONAL PLENO</t>
  </si>
  <si>
    <t>ENGENHEIRO PROFISSIONAL JÚNIOR</t>
  </si>
  <si>
    <t>ENGENHEIRO PROFISSIONAL AUXILIAR</t>
  </si>
  <si>
    <t>TÉCNICO ESPECIAL</t>
  </si>
  <si>
    <t>TÉCNICO SÊNIOR</t>
  </si>
  <si>
    <t>TÉCNICO PLENO</t>
  </si>
  <si>
    <t>TÉCNICO JÚNIOR</t>
  </si>
  <si>
    <t>TÉCNIC AUXILIAR</t>
  </si>
  <si>
    <t>CHEFE DE ESCRITÓRIO</t>
  </si>
  <si>
    <t>AUXILIAR DE ESCRITÓRIO/DE CAMPO, MOTORISTA</t>
  </si>
  <si>
    <t>CM</t>
  </si>
  <si>
    <t>SEDAN - 71 A 115 CV</t>
  </si>
  <si>
    <t>CAMINHONETE - 71A 115 CV</t>
  </si>
  <si>
    <t>CAMINHONETE - 140 A 165 CV</t>
  </si>
  <si>
    <t>VAN - 120 A 140CV</t>
  </si>
  <si>
    <t>CAMINHÃO PARA VIGA BENKELMAN</t>
  </si>
  <si>
    <t>INSTRUMENTAL DE TOPOGRAFIA</t>
  </si>
  <si>
    <t>FALLING WEIGHT DEFLECTOMETER - FWD</t>
  </si>
  <si>
    <t>INTEGRADOR MAYSMETER</t>
  </si>
  <si>
    <t>LABORATÓRIO DE SOLOS</t>
  </si>
  <si>
    <t>LABORATÓRIO DE BETUME</t>
  </si>
  <si>
    <t>LABORATÓRIO DE CONCRETO</t>
  </si>
  <si>
    <t>Qualificação Exigida para a Equipe</t>
  </si>
  <si>
    <t xml:space="preserve">C-Consultor Especial (Eng. Ou Profissional com, no mínimo, Doutorado na área de interesse, e/ou Experiência Profissional ≥ 15 anos </t>
  </si>
  <si>
    <t>P0-Coordenador (Eng. ou Profissional-Experiência Profissional ≥ 10 anos</t>
  </si>
  <si>
    <t>P1-Eng./Profissional Sênior (Experiência Profissional ≥ 8 anos)</t>
  </si>
  <si>
    <t>P2-Eng./Profissional Pleno (Experiência Profissional ≥ 5 anos)</t>
  </si>
  <si>
    <t>P3-Eng./Profissional Júnior (Experiência Profissional ≥ 2 anos)</t>
  </si>
  <si>
    <t>P4-Eng./Profissional Auxiliar (Formação 3º grau)</t>
  </si>
  <si>
    <t>T0-Técnico Especial (2º grau completo-Experiência Profissional ≥ 10 anos)</t>
  </si>
  <si>
    <t>CASA ENGEN.</t>
  </si>
  <si>
    <t>T1-Técnico Sênior (2º grau completo-Experiência Profissional ≥ 8 anos)</t>
  </si>
  <si>
    <t>ALOJAMENTO</t>
  </si>
  <si>
    <t>T2-Técnico Pleno (2º grau completo-Experiência Profissional ≥ 5 anos)</t>
  </si>
  <si>
    <t>T3-Técnico Júnior (2º grau completo-Experiência Profissional ≥ 2 anos)</t>
  </si>
  <si>
    <t>T4-Técnico Auxiliar (Formação-2º grau completo)</t>
  </si>
  <si>
    <t>A0-Chefe de Escritório (2º grau completo-Experiência Profissional ≥ 5 anos)</t>
  </si>
  <si>
    <t>ESCRITÓRIO - MOBILIÁRIO</t>
  </si>
  <si>
    <t>Valor Total</t>
  </si>
  <si>
    <t>OBSERVAÇÃO:</t>
  </si>
  <si>
    <t>Taxa de 84,04% dos salários</t>
  </si>
  <si>
    <t>Taxa de  30,0% dos salários</t>
  </si>
  <si>
    <t xml:space="preserve">OBSERVAÇÕES CONSTANTES NO PBA </t>
  </si>
  <si>
    <t>C, P0, P1, P2, P3</t>
  </si>
  <si>
    <t>Projeto:</t>
  </si>
  <si>
    <t>A - REMUNERAÇÃO DA EMPRESA</t>
  </si>
  <si>
    <t>B - DESPESAS FISCAIS</t>
  </si>
  <si>
    <t>Nº DE VIAS</t>
  </si>
  <si>
    <t>Relatório de Mobilização e Planejamento das Atividades</t>
  </si>
  <si>
    <t>Veículos</t>
  </si>
  <si>
    <r>
      <rPr>
        <b/>
        <sz val="10"/>
        <rFont val="Spranq eco sans"/>
        <family val="2"/>
      </rPr>
      <t>c)</t>
    </r>
    <r>
      <rPr>
        <sz val="10"/>
        <rFont val="Spranq eco sans"/>
        <family val="2"/>
      </rPr>
      <t xml:space="preserve"> Veículos: 01 Veículo Sedan</t>
    </r>
  </si>
  <si>
    <t>TOTAL GERAL</t>
  </si>
  <si>
    <t xml:space="preserve">TOTAL </t>
  </si>
  <si>
    <t>Supervisão Ambiental</t>
  </si>
  <si>
    <t>Gerenciamento Ambiental</t>
  </si>
  <si>
    <t>Rodovia:</t>
  </si>
  <si>
    <t>Produtos</t>
  </si>
  <si>
    <t>MESES</t>
  </si>
  <si>
    <t>SUBTOTAL</t>
  </si>
  <si>
    <t>Relatórios Mensais de Andamento do Programa de Supervisão Ambiental</t>
  </si>
  <si>
    <t>MOBILIÁRIO ESCRITÓRIO  (Supervisão)</t>
  </si>
  <si>
    <t>ESCRITÓRIO IMÓVEL  (Supervisão)</t>
  </si>
  <si>
    <t>ALOJAMENTO IMÓVEL  (Supervisão)</t>
  </si>
  <si>
    <t>ALOJAMENTO  MOBILIÁRIO (Supervisão)</t>
  </si>
  <si>
    <t>Taxa de 12,00% dos subitens (A+...+E)</t>
  </si>
  <si>
    <t>TOTAL DOS CUSTOS INDIRETOS</t>
  </si>
  <si>
    <t>TOTAL DOS CUSTOS DIRETOS + INDIRETOS</t>
  </si>
  <si>
    <t>Produtos de Execução dos Programas</t>
  </si>
  <si>
    <t>Taxa de 16,62% dos subitens (A+...+E) + (A)</t>
  </si>
  <si>
    <t>Relatórios Mensais de Andamento do Programa de Gerenciamento Ambiental</t>
  </si>
  <si>
    <t>Valor Total (R$)</t>
  </si>
  <si>
    <t>Trecho 1:</t>
  </si>
  <si>
    <t>Subtrecho 1:</t>
  </si>
  <si>
    <t>Extensão 1:</t>
  </si>
  <si>
    <t>Segmento 1:</t>
  </si>
  <si>
    <t>Relatórios Semestrais</t>
  </si>
  <si>
    <t>Relatórios Finais</t>
  </si>
  <si>
    <t>Relatórios Específicos de Execução dos Programas Ambientais - Periodicidade Mensal</t>
  </si>
  <si>
    <t>Relatórios Específicos de Execução dos Programas Ambientais - Periodicidade Trimestral</t>
  </si>
  <si>
    <t>PROPOSTA DE PREÇOS A SER APRESENTADA PELA EMPRESA</t>
  </si>
  <si>
    <t>Relatórios Específicos de Execução dos Programas Ambientais - Periodicidade Bimestral</t>
  </si>
  <si>
    <t>Relatório Programa de Controle de Supressão</t>
  </si>
  <si>
    <t>Relatório Programa de Monitoramento de Fauna e Bioindicadores</t>
  </si>
  <si>
    <t>Relatório do Programa de Monitoramento e Controle do Atropelamento de Fauna</t>
  </si>
  <si>
    <t>Relatório Programa de Educação Ambiental destinado às Comunidades Lindeias e Empregados Diretos e Terceirizados do Empreendedor</t>
  </si>
  <si>
    <t>Relatório Programa de Comunicação Social par as populações do Entorno do Empreendimento</t>
  </si>
  <si>
    <t>5.1.</t>
  </si>
  <si>
    <t>Produtos Específicos -Elaboração de Plano</t>
  </si>
  <si>
    <t>Produtos Específicos - Elaboração de Estudos Ambientais</t>
  </si>
  <si>
    <t>6.1.</t>
  </si>
  <si>
    <t>ÍNDICE BASE</t>
  </si>
  <si>
    <t xml:space="preserve">7.1. </t>
  </si>
  <si>
    <t>Relatório Programa de Prospecção e Resgate Arqueológico - Subprograma de Monitoramento Arqueológico</t>
  </si>
  <si>
    <t>CRONOGRAMA FÍSICO-FINANCEIRO</t>
  </si>
  <si>
    <t>Diária</t>
  </si>
  <si>
    <t>PLANO AMBIENTAL DE CONSTRUÇÃO - PROGRAMA DE MONITORAMENTO E CONTROLE DA POLUIÇÃO ATMOSFÉRICA - CUSTO POR CAMPANHA</t>
  </si>
  <si>
    <t>Qtde</t>
  </si>
  <si>
    <t>"1/22"</t>
  </si>
  <si>
    <r>
      <rPr>
        <b/>
        <sz val="10"/>
        <rFont val="Spranq eco sans"/>
        <family val="2"/>
      </rPr>
      <t>a)</t>
    </r>
    <r>
      <rPr>
        <sz val="10"/>
        <rFont val="Spranq eco sans"/>
        <family val="2"/>
      </rPr>
      <t xml:space="preserve"> Período da Obra: 12 meses</t>
    </r>
  </si>
  <si>
    <t>D-DESPESAS GERAIS</t>
  </si>
  <si>
    <r>
      <rPr>
        <b/>
        <sz val="10"/>
        <rFont val="Spranq eco sans"/>
        <family val="2"/>
      </rPr>
      <t>b)</t>
    </r>
    <r>
      <rPr>
        <sz val="10"/>
        <rFont val="Spranq eco sans"/>
        <family val="2"/>
      </rPr>
      <t xml:space="preserve"> Nº de Campanhas:</t>
    </r>
    <r>
      <rPr>
        <sz val="10"/>
        <color indexed="8"/>
        <rFont val="Spranq eco sans"/>
        <family val="2"/>
      </rPr>
      <t xml:space="preserve">  06 com periodicidade bimestral, primeira campanha no primeiro mês.</t>
    </r>
  </si>
  <si>
    <t>H X MÊS</t>
  </si>
  <si>
    <t>Programa de Gerenciamento de Riscos Ambientais</t>
  </si>
  <si>
    <t>Programa De Gerencimento de Resíduos Sólidos e Efluentes Líquidos</t>
  </si>
  <si>
    <t>Programa de Prevenção de Acidentes</t>
  </si>
  <si>
    <t>Plano de Ação de Emergência Direcionado ao Transporte de Produtos Perigosos</t>
  </si>
  <si>
    <t>Percentual (%)</t>
  </si>
  <si>
    <t>Percentual Acumulado (%)</t>
  </si>
  <si>
    <t>%</t>
  </si>
  <si>
    <t>Porcentual Acumulado (%)</t>
  </si>
  <si>
    <t>Porcentual (%)</t>
  </si>
  <si>
    <t>X</t>
  </si>
  <si>
    <t>Elaboração de Projeto</t>
  </si>
  <si>
    <t>Projeto de Plantio Compensatório</t>
  </si>
  <si>
    <t>Estudos Florestais para Obtenção da Autorização de Supressão de Vegetação - ASV</t>
  </si>
  <si>
    <t>Díária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</si>
  <si>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</si>
  <si>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</si>
  <si>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</si>
  <si>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</si>
  <si>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</si>
  <si>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</si>
  <si>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</si>
  <si>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</si>
  <si>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</si>
  <si>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</si>
  <si>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Programa de Monitoramento de PRAD</t>
  </si>
  <si>
    <t>BR - 158/MT</t>
  </si>
  <si>
    <t>24 meses</t>
  </si>
  <si>
    <t>Secretária</t>
  </si>
  <si>
    <t>Coordenador</t>
  </si>
  <si>
    <t>Engenheiro Ambiental</t>
  </si>
  <si>
    <t>Profissional Sênior (Meio Biótico  (Fauna Terrestre)</t>
  </si>
  <si>
    <t>Profissional Sênior - Biólogo (Fauna aquática)</t>
  </si>
  <si>
    <t>Engenheiro/Profissional Pleno (SIG)</t>
  </si>
  <si>
    <t>Equipe Técnica - Campo</t>
  </si>
  <si>
    <t>Profissional Pleno - Biólogo (Fauna Terrestre)</t>
  </si>
  <si>
    <t xml:space="preserve">Auxiliar de Escritório/Campo/Motorista </t>
  </si>
  <si>
    <t>Profissional Pleno - Biólogo (Fauna Aquática)</t>
  </si>
  <si>
    <t>Profissional Pleno - Biólogo (Fauna Atropelada)</t>
  </si>
  <si>
    <t>Reprografia</t>
  </si>
  <si>
    <t>verba</t>
  </si>
  <si>
    <t>Diárias Hotel - Equipe Campo Fauna Terrestre</t>
  </si>
  <si>
    <t>dia</t>
  </si>
  <si>
    <t>Diárias Hotel - Equipe Campo Fauna Aquática</t>
  </si>
  <si>
    <t>Diárias Hotel - Equipe Campo Fauna Atropelada</t>
  </si>
  <si>
    <t xml:space="preserve">Diárias Hotel - Auxiliar de Escritório/Campo/Motorista </t>
  </si>
  <si>
    <t>Material Campo</t>
  </si>
  <si>
    <t>Análise de Amostras de Ictofauna</t>
  </si>
  <si>
    <t>Veículo (CAMINHONETE - 140 A 185 CV) - Equipe Fauna Aquática</t>
  </si>
  <si>
    <t>Veículo (CAMINHONETE - 140 A 185 CV) - Equipe Fauna Atropelada</t>
  </si>
  <si>
    <t>H/MÊS</t>
  </si>
  <si>
    <t>INVENTÁRIO FLORESTAL PARA OBTENÇÃO DA AUTORIZAÇÃO DE SUPRESSÃO DE VEGETAÇÃO - ASV</t>
  </si>
  <si>
    <t>Equipe</t>
  </si>
  <si>
    <t>Equipe de Campo</t>
  </si>
  <si>
    <t xml:space="preserve">Veículo (CAMINHONETE - 140 A 185 CV) - Equipe Fauna Terrestre </t>
  </si>
  <si>
    <t>REALIZAÇÃO DE 4 CAMPANHAS DE FAUNA</t>
  </si>
  <si>
    <t>DESPESAS DIVERSAS</t>
  </si>
  <si>
    <t>Unitário</t>
  </si>
  <si>
    <t>VIAGEM (PASSAGENS AÉREAS)</t>
  </si>
  <si>
    <t>REPROGRAFIA DE DOCUMENTOS</t>
  </si>
  <si>
    <t>DIÁRIAS HOTEL</t>
  </si>
  <si>
    <t>DIÁRIAS ALIMENTAÇÃO</t>
  </si>
  <si>
    <r>
      <t>a)</t>
    </r>
    <r>
      <rPr>
        <sz val="10"/>
        <rFont val="Spranq eco sans"/>
        <family val="2"/>
      </rPr>
      <t xml:space="preserve"> Deverão ser realizadas 4 campanhas de 15 dias cada campanha.</t>
    </r>
  </si>
  <si>
    <t>Engenheiro Florestal Pleno</t>
  </si>
  <si>
    <t>Diárias Hotel - Engenheiro Florestal Pleno</t>
  </si>
  <si>
    <t>Diárias Hotel - Auxiliar Técnico</t>
  </si>
  <si>
    <r>
      <t>a)</t>
    </r>
    <r>
      <rPr>
        <sz val="10"/>
        <rFont val="Spranq eco sans"/>
        <family val="2"/>
      </rPr>
      <t xml:space="preserve"> Elaboração do inventário em 1 mês</t>
    </r>
  </si>
  <si>
    <t>Profissional Sênior - Especialista em Malária</t>
  </si>
  <si>
    <t>dias</t>
  </si>
  <si>
    <t xml:space="preserve">OBSERVAÇÕES </t>
  </si>
  <si>
    <t>Profissional Sênior (Meio Biótico - Fauna)</t>
  </si>
  <si>
    <t>Profissional Sênior (Meio Biótico - Flora)</t>
  </si>
  <si>
    <t>Profissional Sênior (Meio Socieconômico)</t>
  </si>
  <si>
    <t>Profissional Sênior (Meio Físico)</t>
  </si>
  <si>
    <t>Engenheiro/Profissional Pleno (PBA)</t>
  </si>
  <si>
    <t xml:space="preserve">Diárias Hotel - Equipe Campo </t>
  </si>
  <si>
    <t xml:space="preserve">Veículo (CAMINHONETE - 140 A 185 CV) - Equipe Campo </t>
  </si>
  <si>
    <t>Engenheiro/Profissional Sênior (Arqueólogo)</t>
  </si>
  <si>
    <t>Engenheiro/Profissional Pleno (Arqueólogo)</t>
  </si>
  <si>
    <t>Engenheiro Florestal Sênior</t>
  </si>
  <si>
    <t>b) Campo 20 dias</t>
  </si>
  <si>
    <t>MALARÍGENO</t>
  </si>
  <si>
    <t>Profissional  Pleno Especialista em Malária</t>
  </si>
  <si>
    <t>Profissional Sênior (Antropólogo)</t>
  </si>
  <si>
    <t>Profissional Sênior (Especialista em Flora)</t>
  </si>
  <si>
    <t>Profissional Sênior (Especialista em Fauna)</t>
  </si>
  <si>
    <t>Profissional Pleno - Biólogo (Especialista em Fauna)</t>
  </si>
  <si>
    <t>Profissional Pleno - Biólogo (Especialista em Flora)</t>
  </si>
  <si>
    <t>Profissional Pleno (SIG)</t>
  </si>
  <si>
    <t>Auxiliar de Escritório</t>
  </si>
  <si>
    <t>Equipe Elaboraçã do PBAI</t>
  </si>
  <si>
    <t>Equipe Técnica-Campo</t>
  </si>
  <si>
    <t>ELABORAÇÃO DO PBAI</t>
  </si>
  <si>
    <t>Diárias de Hotel - Equipe de Campo</t>
  </si>
  <si>
    <t>BR 158/MT - TRECHO CENTRAL</t>
  </si>
  <si>
    <t>BR 158 - TRECHO CENTRAL</t>
  </si>
  <si>
    <t>OUTORGA DA ÁGUA</t>
  </si>
  <si>
    <t>Diversas</t>
  </si>
  <si>
    <t xml:space="preserve">SUBTOTAL </t>
  </si>
  <si>
    <t>RODOVIA: BR-158/MT</t>
  </si>
  <si>
    <t>TOTAL DAELABORAÇÃO DOS ESTUDOS PARA REQUERIMENTO DA LI</t>
  </si>
  <si>
    <t>BR -158/MT</t>
  </si>
  <si>
    <t>Relatórios Mensais de Andamento do Programa de Gestão  Ambiental</t>
  </si>
  <si>
    <t>Produtos da Gestão Ambiental</t>
  </si>
  <si>
    <t xml:space="preserve">Relatório SUBPROGRAMA DE REASSEMTAMENTO </t>
  </si>
  <si>
    <t>2.1</t>
  </si>
  <si>
    <t>2.2</t>
  </si>
  <si>
    <t>Relatório  SUBPROGRAMA DE READEQUAÇÃO INFRAEST E NORMATIZAÇÃO DA FAIXA DE DOMÍNIO</t>
  </si>
  <si>
    <t>2.3</t>
  </si>
  <si>
    <t>Relatório PROGRAMA AMBIENTAL PARA CONSTRUÇÃO</t>
  </si>
  <si>
    <t>(2)</t>
  </si>
  <si>
    <t>Valor Unitário R$</t>
  </si>
  <si>
    <t>(3) = (1*2)</t>
  </si>
  <si>
    <t>PLANO BÁSICO AMBIENTAL</t>
  </si>
  <si>
    <t>Equipe de Escritório</t>
  </si>
  <si>
    <t>b) Campo 30 dias</t>
  </si>
  <si>
    <t>Engenheiro/Profissional (SIG)</t>
  </si>
  <si>
    <t>Projeto Arqueológico para obtenção da LI</t>
  </si>
  <si>
    <t xml:space="preserve">Prazo de Execução: </t>
  </si>
  <si>
    <t>Prazo de execução:</t>
  </si>
  <si>
    <t>Trecho do Contorno Leste:</t>
  </si>
  <si>
    <t>114,5 km</t>
  </si>
  <si>
    <t>4 Relatórios trimestrais do diagnóstico das 4 campanhas de fauna</t>
  </si>
  <si>
    <t xml:space="preserve"> Relatório do Inventário Florestal para requerimento da ASV</t>
  </si>
  <si>
    <t>Relatório do Plano de Ação para o Controle de Malária (PACM)</t>
  </si>
  <si>
    <t>Relatório do Plano Básico Ambiental para requerimento da LI</t>
  </si>
  <si>
    <t>Relatório do Projeto Arqueológico visando anuência do IPHAN para LI</t>
  </si>
  <si>
    <t>Relatório do Plano Básico Ambiental Indígena (PBAI)</t>
  </si>
  <si>
    <t>Relatório da Outorga de Direito do Uso de Recursos Hídricos para requerimento da LI</t>
  </si>
  <si>
    <t>PRODUTOS PARA REQUERIMENTO DA LI DO TRECHO DO CONTORNO LESTE</t>
  </si>
  <si>
    <t xml:space="preserve">Código Engenharia Consultiva </t>
  </si>
  <si>
    <t>Categoria profissional</t>
  </si>
  <si>
    <t>Und</t>
  </si>
  <si>
    <t>Salário (R$)</t>
  </si>
  <si>
    <t>Encargos Sociais (%)</t>
  </si>
  <si>
    <t>Encargos Complementares</t>
  </si>
  <si>
    <t>Alimentação</t>
  </si>
  <si>
    <t>EPI</t>
  </si>
  <si>
    <t>Ferramenta</t>
  </si>
  <si>
    <t>Transporte</t>
  </si>
  <si>
    <t>Exame ocupacional</t>
  </si>
  <si>
    <t>Cesta Báscia</t>
  </si>
  <si>
    <t>Assistência Médica</t>
  </si>
  <si>
    <t>Seguro de Vida</t>
  </si>
  <si>
    <t>Encargos Totais</t>
  </si>
  <si>
    <t>Custo Total</t>
  </si>
  <si>
    <t>Encargos Adicionais</t>
  </si>
  <si>
    <t>P8053</t>
  </si>
  <si>
    <t>P8054</t>
  </si>
  <si>
    <t>P8055</t>
  </si>
  <si>
    <t>P8056</t>
  </si>
  <si>
    <t>P8057</t>
  </si>
  <si>
    <t>P8058</t>
  </si>
  <si>
    <t>P8059</t>
  </si>
  <si>
    <t>P8060</t>
  </si>
  <si>
    <t>P8061</t>
  </si>
  <si>
    <t>P8062</t>
  </si>
  <si>
    <t>P8063</t>
  </si>
  <si>
    <t>P8064</t>
  </si>
  <si>
    <t>P8065</t>
  </si>
  <si>
    <t>P8066</t>
  </si>
  <si>
    <t>P8067</t>
  </si>
  <si>
    <t>P8068</t>
  </si>
  <si>
    <t>P8069</t>
  </si>
  <si>
    <t>P8070</t>
  </si>
  <si>
    <t>P8080</t>
  </si>
  <si>
    <t>P8081</t>
  </si>
  <si>
    <t>P8082</t>
  </si>
  <si>
    <t>P8086</t>
  </si>
  <si>
    <t>P8087</t>
  </si>
  <si>
    <t>P8088</t>
  </si>
  <si>
    <t>P8092</t>
  </si>
  <si>
    <t>P8093</t>
  </si>
  <si>
    <t>P8094</t>
  </si>
  <si>
    <t>P8098</t>
  </si>
  <si>
    <t>P8102</t>
  </si>
  <si>
    <t>P8106</t>
  </si>
  <si>
    <t>P8107</t>
  </si>
  <si>
    <t>P8108</t>
  </si>
  <si>
    <t>Engenheiro agrimensor / Geógrafo sênior</t>
  </si>
  <si>
    <t>Engenheiro agrônomo júnior</t>
  </si>
  <si>
    <t>Engenheiro agrônomo pleno</t>
  </si>
  <si>
    <t>Engenheiro agrônomo sênior</t>
  </si>
  <si>
    <t>Engenheiro ambiental júnior</t>
  </si>
  <si>
    <t>Engenheiro ambiental pleno</t>
  </si>
  <si>
    <t>Engenheiro ambiental sênior</t>
  </si>
  <si>
    <t>Engenheiro consultor especial</t>
  </si>
  <si>
    <t>Engenheiro coordenador</t>
  </si>
  <si>
    <t>Engenheiro de pesca júnior</t>
  </si>
  <si>
    <t>Engenheiro de pesca pleno</t>
  </si>
  <si>
    <t>Engenheiro de pesca sênior</t>
  </si>
  <si>
    <t>Engenheiro de projetos júnior</t>
  </si>
  <si>
    <t>Engenheiro de projetos pleno</t>
  </si>
  <si>
    <t>Engenheiro de projetos sênior</t>
  </si>
  <si>
    <t>Engenheiro florestal júnior</t>
  </si>
  <si>
    <t>Engenheiro florestal pleno</t>
  </si>
  <si>
    <t>Engenheiro florestal sênior</t>
  </si>
  <si>
    <t>Geólogo júnior</t>
  </si>
  <si>
    <t>Geólogo pleno</t>
  </si>
  <si>
    <t>Geólogo sênior</t>
  </si>
  <si>
    <t>Historiador / Sociólogo júnior</t>
  </si>
  <si>
    <t>Historiador / Sociólogo pleno</t>
  </si>
  <si>
    <t>Historiador / Sociólogo sênior</t>
  </si>
  <si>
    <t>Jornalista júnior</t>
  </si>
  <si>
    <t>Jornalista pleno</t>
  </si>
  <si>
    <t>Jornalista sênior</t>
  </si>
  <si>
    <t>Laboratorista</t>
  </si>
  <si>
    <t>Médico veterinário</t>
  </si>
  <si>
    <t>Meteorologista júnior</t>
  </si>
  <si>
    <t>Meteorologista pleno</t>
  </si>
  <si>
    <t>Meteorologista sênior</t>
  </si>
  <si>
    <t>Encargos Sociais (R$)</t>
  </si>
  <si>
    <t>-</t>
  </si>
  <si>
    <t>P8001</t>
  </si>
  <si>
    <t>P8002</t>
  </si>
  <si>
    <t>P8003</t>
  </si>
  <si>
    <t>P8007</t>
  </si>
  <si>
    <t>P8008</t>
  </si>
  <si>
    <t>P8009</t>
  </si>
  <si>
    <t>P8013</t>
  </si>
  <si>
    <t>P8014</t>
  </si>
  <si>
    <t>P8015</t>
  </si>
  <si>
    <t>P8019</t>
  </si>
  <si>
    <t>P8020</t>
  </si>
  <si>
    <t>P8021</t>
  </si>
  <si>
    <t>P8025</t>
  </si>
  <si>
    <t>P8026</t>
  </si>
  <si>
    <t>P8027</t>
  </si>
  <si>
    <t>P8028</t>
  </si>
  <si>
    <t>P8032</t>
  </si>
  <si>
    <t>P8033</t>
  </si>
  <si>
    <t>P8034</t>
  </si>
  <si>
    <t>P8038</t>
  </si>
  <si>
    <t>P8040</t>
  </si>
  <si>
    <t>P8041</t>
  </si>
  <si>
    <t>P8042</t>
  </si>
  <si>
    <t>P8044</t>
  </si>
  <si>
    <t>P8045</t>
  </si>
  <si>
    <t>P8046</t>
  </si>
  <si>
    <t>P8047</t>
  </si>
  <si>
    <t>P8051</t>
  </si>
  <si>
    <t>P8052</t>
  </si>
  <si>
    <t>Advogado júnior</t>
  </si>
  <si>
    <t>Advogado pleno</t>
  </si>
  <si>
    <t>Advogado sênior</t>
  </si>
  <si>
    <t>Analista de desenvolvimento de sistemas júnior</t>
  </si>
  <si>
    <t>Analista de desenvolvimento de sistemas pleno</t>
  </si>
  <si>
    <t>Analista de desenvolvimento de sistemas sênior</t>
  </si>
  <si>
    <t>Arquiteto júnior</t>
  </si>
  <si>
    <t>Arquiteto pleno</t>
  </si>
  <si>
    <t>Arquiteto sênior</t>
  </si>
  <si>
    <t>Assistente social júnior</t>
  </si>
  <si>
    <t>Assistente social pleno</t>
  </si>
  <si>
    <t>Assistente social sênior</t>
  </si>
  <si>
    <t>Auxiliar</t>
  </si>
  <si>
    <t>Auxiliar administrativo</t>
  </si>
  <si>
    <t>Auxiliar de laboratório</t>
  </si>
  <si>
    <t>Auxiliar de topografia</t>
  </si>
  <si>
    <t>Biólogo júnior</t>
  </si>
  <si>
    <t>Biólogo pleno</t>
  </si>
  <si>
    <t>Biólogo sênior</t>
  </si>
  <si>
    <t>Chefe de escritório</t>
  </si>
  <si>
    <t>Contador júnior</t>
  </si>
  <si>
    <t>Contador pleno</t>
  </si>
  <si>
    <t>Contador sênior</t>
  </si>
  <si>
    <t>Coordenador ambiental</t>
  </si>
  <si>
    <t>Economista júnior</t>
  </si>
  <si>
    <t>Economista pleno</t>
  </si>
  <si>
    <t>Economista sênior</t>
  </si>
  <si>
    <t>Engenheiro agrimensor / Geógrafo júnior</t>
  </si>
  <si>
    <t>Engenheiro agrimensor / Geógrafo pleno</t>
  </si>
  <si>
    <t>P8112</t>
  </si>
  <si>
    <t>P8113</t>
  </si>
  <si>
    <t>P8117</t>
  </si>
  <si>
    <t>P8118</t>
  </si>
  <si>
    <t>P8119</t>
  </si>
  <si>
    <t>P8123</t>
  </si>
  <si>
    <t>P8124</t>
  </si>
  <si>
    <t>P8125</t>
  </si>
  <si>
    <t>P8129</t>
  </si>
  <si>
    <t>P8130</t>
  </si>
  <si>
    <t>P8131</t>
  </si>
  <si>
    <t>P8135</t>
  </si>
  <si>
    <t>P8139</t>
  </si>
  <si>
    <t>P8143</t>
  </si>
  <si>
    <t>P8147</t>
  </si>
  <si>
    <t>P8151</t>
  </si>
  <si>
    <t>P8155</t>
  </si>
  <si>
    <t>P8159</t>
  </si>
  <si>
    <t>P8163</t>
  </si>
  <si>
    <t>Motorista de caminhão</t>
  </si>
  <si>
    <t>Motorista de veículo leve</t>
  </si>
  <si>
    <t>Oceanógrafo júnior</t>
  </si>
  <si>
    <t>Oceanógrafo pleno</t>
  </si>
  <si>
    <t>Oceanógrafo sênior</t>
  </si>
  <si>
    <t>Pedagogo júnior</t>
  </si>
  <si>
    <t>Pedagogo pleno</t>
  </si>
  <si>
    <t>Pedagogo sênior</t>
  </si>
  <si>
    <t>Sondador</t>
  </si>
  <si>
    <t>Técnico ambiental</t>
  </si>
  <si>
    <t>Técnico de obras</t>
  </si>
  <si>
    <t>Técnico de segurança do trabalho</t>
  </si>
  <si>
    <t>Técnico em geoprocessamento</t>
  </si>
  <si>
    <t>Técnico em informática - programador</t>
  </si>
  <si>
    <t>Topógrafo</t>
  </si>
  <si>
    <t>Item</t>
  </si>
  <si>
    <t>Código Engenharia Consultiva</t>
  </si>
  <si>
    <t>Tipo</t>
  </si>
  <si>
    <t>Custo horário (R$)</t>
  </si>
  <si>
    <t>Operativo</t>
  </si>
  <si>
    <t>Improdutivo</t>
  </si>
  <si>
    <t>E8889</t>
  </si>
  <si>
    <t>E8891</t>
  </si>
  <si>
    <t>E8887</t>
  </si>
  <si>
    <t>Veículo leve - tipo hatch - (sem motorista)</t>
  </si>
  <si>
    <t>Veículo leve - tipo pick up 4 x 4 - (sem motorista)</t>
  </si>
  <si>
    <t>Veículo van - tipo furgão - (com motorista)</t>
  </si>
  <si>
    <t>hora</t>
  </si>
  <si>
    <t>Custos</t>
  </si>
  <si>
    <t>Imóveis</t>
  </si>
  <si>
    <t>Mobiliário</t>
  </si>
  <si>
    <t>B8951</t>
  </si>
  <si>
    <t>B8952</t>
  </si>
  <si>
    <t>B8953</t>
  </si>
  <si>
    <t>B8954</t>
  </si>
  <si>
    <t>B8955</t>
  </si>
  <si>
    <t>B8956</t>
  </si>
  <si>
    <t>B8957</t>
  </si>
  <si>
    <t>B8958</t>
  </si>
  <si>
    <t>B8959</t>
  </si>
  <si>
    <t>B8960</t>
  </si>
  <si>
    <t>Comercial (2,32% do C.M.C.C - SINAPI)</t>
  </si>
  <si>
    <t>Residencial (1,27% do C.M.C.C. - SINAPI)</t>
  </si>
  <si>
    <t>Escritório</t>
  </si>
  <si>
    <t>Residência</t>
  </si>
  <si>
    <t>Laboratório de asfalto</t>
  </si>
  <si>
    <t>Laboratório de concreto</t>
  </si>
  <si>
    <t>Laboratório de solos</t>
  </si>
  <si>
    <t>Topografia</t>
  </si>
  <si>
    <t>R$/m² x mês</t>
  </si>
  <si>
    <t>R$ x ocupante/mês</t>
  </si>
  <si>
    <t>R$/mês</t>
  </si>
  <si>
    <t>Cesta das instalações</t>
  </si>
  <si>
    <t>Custos diversos</t>
  </si>
  <si>
    <t>Classificação do Cargo/Emprego/Função</t>
  </si>
  <si>
    <t>Deslocamentos
para Brasília/
Manaus/Rio de Janeiro</t>
  </si>
  <si>
    <t>Deslocamentos para Belo Horizonte/Fortaleza
/Porto Alegre/ Recife/Salvador/ São Paulo</t>
  </si>
  <si>
    <t>Deslocamentos para outras
capitais de Estados</t>
  </si>
  <si>
    <t>Demais deslocamentos</t>
  </si>
  <si>
    <t>F) FG-1, FG-2, FG-3; GR;
FST-1, FST-2, FST-3 do
BACEN; FDO-1, FCA-4, FCA-
5 do BACEN; FCT8, FCT9,
FCT10, FCT11, FCT12,
FCT13, FCT14, FCT15;
cargos de nível intermediário
e auxiliar</t>
  </si>
  <si>
    <t>Horas</t>
  </si>
  <si>
    <t>Administração Central</t>
  </si>
  <si>
    <t>Despesas Financeiras</t>
  </si>
  <si>
    <t>Riscos</t>
  </si>
  <si>
    <t>Garantias Contratuais</t>
  </si>
  <si>
    <t>SUBTOTAL ITEM A1</t>
  </si>
  <si>
    <t>SUBTOTAL ITEM B1</t>
  </si>
  <si>
    <t>SUBTOTAL ITEM C1</t>
  </si>
  <si>
    <t>SUBTOTAL ITEM A2</t>
  </si>
  <si>
    <t>A2 - DESPESAS INDIRETAS</t>
  </si>
  <si>
    <t>B1 - ENCARGOS TOTAIS</t>
  </si>
  <si>
    <t>B2 - LUCRO OPERACIONAL</t>
  </si>
  <si>
    <t>C2 - DESPESAS FISCAIS</t>
  </si>
  <si>
    <t>PIS</t>
  </si>
  <si>
    <t>COFINS</t>
  </si>
  <si>
    <t>ISSQN*</t>
  </si>
  <si>
    <t>Cód.</t>
  </si>
  <si>
    <t>Paleontólogo / Arqueólogo / Antropólogo Junior</t>
  </si>
  <si>
    <t>Paleontólogo / Arqueólogo / Antropólogo Pleno</t>
  </si>
  <si>
    <t>Paleontólogo / Arqueólogo / Antropólogo Sênior</t>
  </si>
  <si>
    <t>A1 - EQUIPE</t>
  </si>
  <si>
    <t>C1 - DESPESAS GERAIS</t>
  </si>
  <si>
    <t>Taxa de 12,00% dos subitens (A1+...+C1)</t>
  </si>
  <si>
    <t>B1 - ENCARGOS SOCIAIS</t>
  </si>
  <si>
    <t>Diárias - Engenheiro Ambiental</t>
  </si>
  <si>
    <t>Diárias - Auxiliar Técnico</t>
  </si>
  <si>
    <t>Diárias - Prof Pleno Esp Malária</t>
  </si>
  <si>
    <t>Diárias - Engenheiro Florestal Pleno</t>
  </si>
  <si>
    <t>LICENCIAMENTO AMBIENTAL - BR-158/MT</t>
  </si>
  <si>
    <t>TRECHO CONTORNO LESTE DA BR-158/MT - REQUERIMENTO DE LI</t>
  </si>
  <si>
    <t>1. ELABORAÇÃO DOS ESTUDOS AMBIENTAIS PARA O TRECHO DO CONTORNO LESTE - REQ.  LI</t>
  </si>
  <si>
    <t>1.1 - Realização das Campanhas de Fauna</t>
  </si>
  <si>
    <t>1.2 - Inventário Florestal - ASV</t>
  </si>
  <si>
    <t>1.3 - Elaboração do PBA</t>
  </si>
  <si>
    <t>1.4 - Malarígeno</t>
  </si>
  <si>
    <t>1.5 - Arqueologia</t>
  </si>
  <si>
    <t>1.6 - PBAI</t>
  </si>
  <si>
    <t>1.7 - Outorga</t>
  </si>
  <si>
    <t>PLANILHA DE ORÇAMENTO REFERENCIAL PARA LICENCIAMENTO AMBIENTAL</t>
  </si>
  <si>
    <t>EXTENSÃO: 114,5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</si>
</sst>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* #,##0.000_);_(* \(#,##0.000\);_(* &quot;-&quot;??_);_(@_)"/>
    <numFmt numFmtId="167" formatCode="_(* #,##0.00000_);_(* \(#,##0.00000\);_(* &quot;-&quot;??_);_(@_)"/>
    <numFmt numFmtId="168" formatCode="0.000"/>
    <numFmt numFmtId="169" formatCode="0.00000"/>
    <numFmt numFmtId="170" formatCode="_(* #,##0.00000000_);_(* \(#,##0.00000000\);_(* &quot;-&quot;??_);_(@_)"/>
    <numFmt numFmtId="171" formatCode="mmmm\-yy"/>
    <numFmt numFmtId="172" formatCode="[$-416]mmmm\-yy;@"/>
    <numFmt numFmtId="173" formatCode="#,##0.00;[Red]#,##0.00"/>
    <numFmt numFmtId="174" formatCode="0_);\(0\)"/>
    <numFmt numFmtId="175" formatCode="&quot;R$&quot;\ #,##0.00;[Red]&quot;R$&quot;\ #,##0.00"/>
    <numFmt numFmtId="176" formatCode="&quot;R$&quot;\ #,##0.00"/>
    <numFmt numFmtId="177" formatCode="&quot;R$ &quot;#,##0.00"/>
  </numFmts>
  <fonts count="4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Spranq eco sans"/>
      <family val="2"/>
    </font>
    <font>
      <sz val="14"/>
      <name val="Spranq eco sans"/>
      <family val="2"/>
    </font>
    <font>
      <sz val="9"/>
      <name val="Spranq eco sans"/>
      <family val="2"/>
    </font>
    <font>
      <b/>
      <sz val="9"/>
      <name val="Spranq eco sans"/>
      <family val="2"/>
    </font>
    <font>
      <sz val="8"/>
      <name val="Spranq eco sans"/>
      <family val="2"/>
    </font>
    <font>
      <b/>
      <sz val="10"/>
      <name val="Spranq eco sans"/>
      <family val="2"/>
    </font>
    <font>
      <sz val="10"/>
      <color indexed="10"/>
      <name val="Spranq eco sans"/>
      <family val="2"/>
    </font>
    <font>
      <sz val="10"/>
      <color indexed="8"/>
      <name val="Spranq eco sans"/>
      <family val="2"/>
    </font>
    <font>
      <sz val="6"/>
      <name val="Arial"/>
      <family val="2"/>
    </font>
    <font>
      <sz val="5.5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11"/>
      <name val="Spranq eco sans"/>
      <family val="2"/>
    </font>
    <font>
      <b/>
      <sz val="10.5"/>
      <name val="Spranq eco sans"/>
      <family val="2"/>
    </font>
    <font>
      <sz val="11"/>
      <name val="Spranq eco sans"/>
      <family val="2"/>
    </font>
    <font>
      <sz val="10"/>
      <name val="Arial"/>
      <family val="2"/>
    </font>
    <font>
      <sz val="10"/>
      <name val="Spranq eco sans"/>
    </font>
    <font>
      <b/>
      <sz val="10"/>
      <name val="Spranq eco sans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color rgb="FFFF0000"/>
      <name val="Spranq eco sans"/>
    </font>
    <font>
      <sz val="10"/>
      <color rgb="FFFF0000"/>
      <name val="Spranq eco sans"/>
      <family val="2"/>
    </font>
    <font>
      <b/>
      <sz val="10"/>
      <color rgb="FFFF0000"/>
      <name val="Spranq eco sans"/>
      <family val="2"/>
    </font>
    <font>
      <sz val="11"/>
      <name val="Calibri"/>
      <family val="2"/>
    </font>
    <font>
      <sz val="7"/>
      <name val="Arial"/>
      <family val="2"/>
    </font>
    <font>
      <sz val="10"/>
      <color rgb="FFFF3300"/>
      <name val="Spranq eco sans"/>
      <family val="2"/>
    </font>
    <font>
      <b/>
      <sz val="10"/>
      <color rgb="FFFF3300"/>
      <name val="Spranq eco sans"/>
      <family val="2"/>
    </font>
    <font>
      <sz val="10"/>
      <color rgb="FFFF3300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0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3" tint="-0.249977111117893"/>
        <bgColor indexed="64"/>
      </patternFill>
    </fill>
  </fills>
  <borders count="7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Dashed">
        <color indexed="64"/>
      </left>
      <right style="mediumDashed">
        <color indexed="64"/>
      </right>
      <top/>
      <bottom/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 style="mediumDash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7">
    <xf numFmtId="0" fontId="0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4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49" fontId="0" fillId="0" borderId="0" xfId="0" applyNumberFormat="1" applyAlignment="1">
      <alignment horizontal="center" wrapText="1"/>
    </xf>
    <xf numFmtId="9" fontId="0" fillId="0" borderId="0" xfId="0" applyNumberFormat="1" applyAlignment="1">
      <alignment horizontal="center"/>
    </xf>
    <xf numFmtId="165" fontId="0" fillId="0" borderId="0" xfId="15" applyFont="1"/>
    <xf numFmtId="0" fontId="0" fillId="0" borderId="0" xfId="0" applyFill="1"/>
    <xf numFmtId="165" fontId="0" fillId="0" borderId="0" xfId="0" applyNumberFormat="1"/>
    <xf numFmtId="0" fontId="7" fillId="0" borderId="0" xfId="0" applyFont="1"/>
    <xf numFmtId="165" fontId="7" fillId="0" borderId="0" xfId="15" applyFont="1" applyAlignment="1">
      <alignment vertical="center"/>
    </xf>
    <xf numFmtId="165" fontId="9" fillId="2" borderId="3" xfId="15" applyFont="1" applyFill="1" applyBorder="1" applyAlignment="1">
      <alignment horizontal="center" vertical="center"/>
    </xf>
    <xf numFmtId="165" fontId="10" fillId="2" borderId="4" xfId="15" applyFont="1" applyFill="1" applyBorder="1" applyAlignment="1">
      <alignment horizontal="center" vertical="center"/>
    </xf>
    <xf numFmtId="165" fontId="9" fillId="0" borderId="0" xfId="15" applyFont="1" applyAlignment="1">
      <alignment horizontal="center" vertical="center"/>
    </xf>
    <xf numFmtId="165" fontId="9" fillId="2" borderId="5" xfId="15" applyFont="1" applyFill="1" applyBorder="1" applyAlignment="1">
      <alignment horizontal="center" vertical="center"/>
    </xf>
    <xf numFmtId="165" fontId="10" fillId="2" borderId="6" xfId="15" applyFont="1" applyFill="1" applyBorder="1" applyAlignment="1">
      <alignment horizontal="center" vertical="center"/>
    </xf>
    <xf numFmtId="17" fontId="10" fillId="2" borderId="6" xfId="15" applyNumberFormat="1" applyFont="1" applyFill="1" applyBorder="1" applyAlignment="1">
      <alignment horizontal="center" vertical="center"/>
    </xf>
    <xf numFmtId="17" fontId="10" fillId="2" borderId="8" xfId="15" applyNumberFormat="1" applyFont="1" applyFill="1" applyBorder="1" applyAlignment="1">
      <alignment horizontal="center" vertical="center"/>
    </xf>
    <xf numFmtId="165" fontId="10" fillId="2" borderId="5" xfId="15" applyFont="1" applyFill="1" applyBorder="1" applyAlignment="1">
      <alignment horizontal="center" vertical="center"/>
    </xf>
    <xf numFmtId="165" fontId="9" fillId="2" borderId="9" xfId="15" applyFont="1" applyFill="1" applyBorder="1" applyAlignment="1">
      <alignment horizontal="center" vertical="center"/>
    </xf>
    <xf numFmtId="165" fontId="10" fillId="2" borderId="7" xfId="15" applyFont="1" applyFill="1" applyBorder="1" applyAlignment="1">
      <alignment horizontal="center" vertical="center"/>
    </xf>
    <xf numFmtId="168" fontId="10" fillId="2" borderId="7" xfId="15" applyNumberFormat="1" applyFont="1" applyFill="1" applyBorder="1" applyAlignment="1">
      <alignment horizontal="center" vertical="center"/>
    </xf>
    <xf numFmtId="166" fontId="10" fillId="2" borderId="7" xfId="15" applyNumberFormat="1" applyFont="1" applyFill="1" applyBorder="1" applyAlignment="1">
      <alignment horizontal="center" vertical="center"/>
    </xf>
    <xf numFmtId="166" fontId="10" fillId="2" borderId="10" xfId="15" applyNumberFormat="1" applyFont="1" applyFill="1" applyBorder="1" applyAlignment="1">
      <alignment horizontal="center" vertical="center"/>
    </xf>
    <xf numFmtId="165" fontId="10" fillId="2" borderId="9" xfId="15" applyFont="1" applyFill="1" applyBorder="1" applyAlignment="1">
      <alignment horizontal="center" vertical="center"/>
    </xf>
    <xf numFmtId="165" fontId="9" fillId="2" borderId="11" xfId="15" applyFont="1" applyFill="1" applyBorder="1" applyAlignment="1">
      <alignment horizontal="center" vertical="center"/>
    </xf>
    <xf numFmtId="165" fontId="10" fillId="2" borderId="12" xfId="15" applyFont="1" applyFill="1" applyBorder="1" applyAlignment="1">
      <alignment horizontal="center" vertical="center"/>
    </xf>
    <xf numFmtId="168" fontId="10" fillId="2" borderId="12" xfId="15" applyNumberFormat="1" applyFont="1" applyFill="1" applyBorder="1" applyAlignment="1">
      <alignment horizontal="center" vertical="center"/>
    </xf>
    <xf numFmtId="169" fontId="10" fillId="2" borderId="12" xfId="15" applyNumberFormat="1" applyFont="1" applyFill="1" applyBorder="1" applyAlignment="1">
      <alignment horizontal="center" vertical="center"/>
    </xf>
    <xf numFmtId="170" fontId="10" fillId="2" borderId="13" xfId="15" applyNumberFormat="1" applyFont="1" applyFill="1" applyBorder="1" applyAlignment="1">
      <alignment horizontal="center" vertical="center"/>
    </xf>
    <xf numFmtId="165" fontId="10" fillId="2" borderId="11" xfId="15" applyFont="1" applyFill="1" applyBorder="1" applyAlignment="1">
      <alignment horizontal="center" vertical="center"/>
    </xf>
    <xf numFmtId="2" fontId="10" fillId="2" borderId="12" xfId="15" applyNumberFormat="1" applyFont="1" applyFill="1" applyBorder="1" applyAlignment="1">
      <alignment horizontal="center" vertical="center"/>
    </xf>
    <xf numFmtId="167" fontId="10" fillId="2" borderId="12" xfId="15" applyNumberFormat="1" applyFont="1" applyFill="1" applyBorder="1" applyAlignment="1">
      <alignment horizontal="center" vertical="center"/>
    </xf>
    <xf numFmtId="167" fontId="10" fillId="2" borderId="13" xfId="15" applyNumberFormat="1" applyFont="1" applyFill="1" applyBorder="1" applyAlignment="1">
      <alignment horizontal="center" vertical="center"/>
    </xf>
    <xf numFmtId="165" fontId="9" fillId="0" borderId="14" xfId="15" applyFont="1" applyBorder="1" applyAlignment="1">
      <alignment horizontal="center" vertical="center"/>
    </xf>
    <xf numFmtId="165" fontId="9" fillId="0" borderId="15" xfId="15" applyFont="1" applyBorder="1" applyAlignment="1">
      <alignment horizontal="center" vertical="center"/>
    </xf>
    <xf numFmtId="165" fontId="9" fillId="0" borderId="16" xfId="15" applyFont="1" applyBorder="1" applyAlignment="1">
      <alignment horizontal="center" vertical="center"/>
    </xf>
    <xf numFmtId="165" fontId="9" fillId="0" borderId="7" xfId="15" applyFont="1" applyBorder="1" applyAlignment="1">
      <alignment horizontal="center" vertical="center"/>
    </xf>
    <xf numFmtId="165" fontId="9" fillId="0" borderId="7" xfId="15" applyFont="1" applyBorder="1" applyAlignment="1">
      <alignment vertical="center"/>
    </xf>
    <xf numFmtId="165" fontId="9" fillId="0" borderId="10" xfId="15" applyFont="1" applyBorder="1" applyAlignment="1">
      <alignment vertical="center"/>
    </xf>
    <xf numFmtId="165" fontId="9" fillId="0" borderId="0" xfId="15" applyFont="1" applyAlignment="1">
      <alignment vertical="center"/>
    </xf>
    <xf numFmtId="165" fontId="9" fillId="0" borderId="9" xfId="15" applyFont="1" applyBorder="1" applyAlignment="1">
      <alignment horizontal="left" vertical="center"/>
    </xf>
    <xf numFmtId="165" fontId="9" fillId="3" borderId="7" xfId="15" applyFont="1" applyFill="1" applyBorder="1" applyAlignment="1">
      <alignment horizontal="left" vertical="center"/>
    </xf>
    <xf numFmtId="165" fontId="9" fillId="0" borderId="17" xfId="15" applyFont="1" applyBorder="1" applyAlignment="1">
      <alignment horizontal="left" vertical="center"/>
    </xf>
    <xf numFmtId="165" fontId="9" fillId="3" borderId="18" xfId="15" applyFont="1" applyFill="1" applyBorder="1" applyAlignment="1">
      <alignment horizontal="left" vertical="center"/>
    </xf>
    <xf numFmtId="165" fontId="9" fillId="0" borderId="11" xfId="15" applyFont="1" applyBorder="1" applyAlignment="1">
      <alignment horizontal="left" vertical="center"/>
    </xf>
    <xf numFmtId="165" fontId="9" fillId="3" borderId="12" xfId="15" applyFont="1" applyFill="1" applyBorder="1" applyAlignment="1">
      <alignment horizontal="left" vertical="center"/>
    </xf>
    <xf numFmtId="165" fontId="9" fillId="0" borderId="12" xfId="15" applyFont="1" applyBorder="1" applyAlignment="1">
      <alignment vertical="center"/>
    </xf>
    <xf numFmtId="165" fontId="9" fillId="0" borderId="13" xfId="15" applyFont="1" applyBorder="1" applyAlignment="1">
      <alignment vertical="center"/>
    </xf>
    <xf numFmtId="165" fontId="9" fillId="0" borderId="5" xfId="15" applyFont="1" applyBorder="1" applyAlignment="1">
      <alignment horizontal="center" vertical="center"/>
    </xf>
    <xf numFmtId="165" fontId="9" fillId="0" borderId="6" xfId="15" applyFont="1" applyBorder="1" applyAlignment="1">
      <alignment horizontal="center" vertical="center"/>
    </xf>
    <xf numFmtId="165" fontId="9" fillId="0" borderId="8" xfId="15" applyFont="1" applyBorder="1" applyAlignment="1">
      <alignment horizontal="center" vertical="center"/>
    </xf>
    <xf numFmtId="165" fontId="9" fillId="0" borderId="9" xfId="15" applyFont="1" applyBorder="1" applyAlignment="1">
      <alignment vertical="center"/>
    </xf>
    <xf numFmtId="165" fontId="9" fillId="3" borderId="7" xfId="15" applyFont="1" applyFill="1" applyBorder="1" applyAlignment="1">
      <alignment vertical="center"/>
    </xf>
    <xf numFmtId="165" fontId="9" fillId="0" borderId="9" xfId="15" applyFont="1" applyBorder="1" applyAlignment="1">
      <alignment vertical="center" wrapText="1"/>
    </xf>
    <xf numFmtId="165" fontId="9" fillId="0" borderId="11" xfId="15" applyFont="1" applyBorder="1" applyAlignment="1">
      <alignment vertical="center"/>
    </xf>
    <xf numFmtId="165" fontId="9" fillId="3" borderId="12" xfId="15" applyFont="1" applyFill="1" applyBorder="1" applyAlignment="1">
      <alignment vertical="center"/>
    </xf>
    <xf numFmtId="165" fontId="10" fillId="0" borderId="0" xfId="15" applyFont="1" applyFill="1" applyBorder="1" applyAlignment="1">
      <alignment vertical="center"/>
    </xf>
    <xf numFmtId="165" fontId="9" fillId="0" borderId="0" xfId="15" applyFont="1" applyFill="1" applyBorder="1" applyAlignment="1">
      <alignment horizontal="center" vertical="center"/>
    </xf>
    <xf numFmtId="0" fontId="11" fillId="0" borderId="0" xfId="0" applyFont="1" applyBorder="1"/>
    <xf numFmtId="165" fontId="9" fillId="0" borderId="0" xfId="15" applyFont="1" applyBorder="1" applyAlignment="1">
      <alignment vertical="center"/>
    </xf>
    <xf numFmtId="4" fontId="11" fillId="0" borderId="0" xfId="0" applyNumberFormat="1" applyFont="1" applyFill="1" applyBorder="1" applyAlignment="1">
      <alignment horizontal="right" vertical="center"/>
    </xf>
    <xf numFmtId="4" fontId="11" fillId="3" borderId="7" xfId="15" applyNumberFormat="1" applyFont="1" applyFill="1" applyBorder="1" applyAlignment="1">
      <alignment horizontal="right" vertical="center"/>
    </xf>
    <xf numFmtId="0" fontId="11" fillId="3" borderId="12" xfId="0" applyFont="1" applyFill="1" applyBorder="1" applyAlignment="1">
      <alignment horizontal="right" vertical="center"/>
    </xf>
    <xf numFmtId="165" fontId="7" fillId="0" borderId="7" xfId="15" applyFont="1" applyBorder="1" applyAlignment="1">
      <alignment horizontal="center" vertical="center"/>
    </xf>
    <xf numFmtId="0" fontId="7" fillId="0" borderId="9" xfId="0" applyFont="1" applyBorder="1"/>
    <xf numFmtId="165" fontId="7" fillId="0" borderId="7" xfId="15" applyFont="1" applyBorder="1" applyAlignment="1">
      <alignment vertical="center"/>
    </xf>
    <xf numFmtId="174" fontId="7" fillId="0" borderId="0" xfId="15" applyNumberFormat="1" applyFont="1" applyAlignment="1">
      <alignment horizontal="right" vertical="center"/>
    </xf>
    <xf numFmtId="165" fontId="7" fillId="0" borderId="7" xfId="15" applyFont="1" applyBorder="1" applyAlignment="1">
      <alignment horizontal="left" vertical="center"/>
    </xf>
    <xf numFmtId="0" fontId="12" fillId="0" borderId="7" xfId="0" applyFont="1" applyBorder="1" applyAlignment="1">
      <alignment horizontal="center" vertical="center"/>
    </xf>
    <xf numFmtId="0" fontId="13" fillId="0" borderId="0" xfId="0" applyFont="1"/>
    <xf numFmtId="0" fontId="7" fillId="0" borderId="7" xfId="0" applyFont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7" fillId="0" borderId="7" xfId="0" applyFont="1" applyFill="1" applyBorder="1"/>
    <xf numFmtId="0" fontId="7" fillId="0" borderId="7" xfId="0" applyFont="1" applyBorder="1"/>
    <xf numFmtId="0" fontId="12" fillId="0" borderId="9" xfId="0" applyFont="1" applyBorder="1"/>
    <xf numFmtId="0" fontId="12" fillId="0" borderId="7" xfId="0" applyFont="1" applyBorder="1"/>
    <xf numFmtId="0" fontId="12" fillId="0" borderId="7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7" fillId="0" borderId="7" xfId="0" applyFont="1" applyFill="1" applyBorder="1" applyAlignment="1">
      <alignment horizontal="center" wrapText="1"/>
    </xf>
    <xf numFmtId="165" fontId="7" fillId="0" borderId="9" xfId="0" applyNumberFormat="1" applyFont="1" applyBorder="1"/>
    <xf numFmtId="10" fontId="7" fillId="0" borderId="7" xfId="0" applyNumberFormat="1" applyFont="1" applyBorder="1" applyAlignment="1">
      <alignment horizontal="center"/>
    </xf>
    <xf numFmtId="165" fontId="12" fillId="0" borderId="13" xfId="0" applyNumberFormat="1" applyFont="1" applyBorder="1" applyAlignment="1"/>
    <xf numFmtId="0" fontId="7" fillId="0" borderId="7" xfId="0" applyFont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7" fillId="0" borderId="7" xfId="0" applyFont="1" applyFill="1" applyBorder="1" applyAlignment="1">
      <alignment horizontal="center" vertical="center"/>
    </xf>
    <xf numFmtId="165" fontId="7" fillId="0" borderId="7" xfId="15" applyFont="1" applyBorder="1" applyAlignment="1">
      <alignment horizontal="center"/>
    </xf>
    <xf numFmtId="1" fontId="7" fillId="0" borderId="7" xfId="0" applyNumberFormat="1" applyFont="1" applyBorder="1" applyAlignment="1">
      <alignment horizontal="center"/>
    </xf>
    <xf numFmtId="165" fontId="7" fillId="0" borderId="7" xfId="15" applyFont="1" applyFill="1" applyBorder="1" applyAlignment="1">
      <alignment horizontal="center"/>
    </xf>
    <xf numFmtId="165" fontId="7" fillId="0" borderId="10" xfId="15" applyFont="1" applyBorder="1" applyAlignment="1">
      <alignment horizontal="center"/>
    </xf>
    <xf numFmtId="0" fontId="7" fillId="0" borderId="9" xfId="0" applyFont="1" applyBorder="1" applyAlignment="1">
      <alignment vertical="center"/>
    </xf>
    <xf numFmtId="0" fontId="7" fillId="0" borderId="9" xfId="0" applyFont="1" applyFill="1" applyBorder="1" applyAlignment="1">
      <alignment vertical="center"/>
    </xf>
    <xf numFmtId="165" fontId="7" fillId="0" borderId="7" xfId="0" applyNumberFormat="1" applyFont="1" applyBorder="1" applyAlignment="1">
      <alignment horizontal="center"/>
    </xf>
    <xf numFmtId="0" fontId="7" fillId="5" borderId="0" xfId="0" applyFont="1" applyFill="1" applyBorder="1" applyAlignment="1">
      <alignment wrapText="1"/>
    </xf>
    <xf numFmtId="0" fontId="12" fillId="5" borderId="19" xfId="0" applyFont="1" applyFill="1" applyBorder="1" applyAlignment="1">
      <alignment wrapText="1"/>
    </xf>
    <xf numFmtId="0" fontId="7" fillId="5" borderId="20" xfId="0" applyFont="1" applyFill="1" applyBorder="1" applyAlignment="1">
      <alignment wrapText="1"/>
    </xf>
    <xf numFmtId="0" fontId="7" fillId="0" borderId="0" xfId="0" applyFont="1" applyBorder="1"/>
    <xf numFmtId="0" fontId="7" fillId="0" borderId="20" xfId="0" applyFont="1" applyBorder="1"/>
    <xf numFmtId="0" fontId="7" fillId="0" borderId="0" xfId="0" applyFont="1" applyFill="1"/>
    <xf numFmtId="0" fontId="7" fillId="5" borderId="21" xfId="0" applyFont="1" applyFill="1" applyBorder="1" applyAlignment="1">
      <alignment horizontal="justify" wrapText="1"/>
    </xf>
    <xf numFmtId="0" fontId="7" fillId="5" borderId="1" xfId="0" applyFont="1" applyFill="1" applyBorder="1" applyAlignment="1">
      <alignment horizontal="justify" wrapText="1"/>
    </xf>
    <xf numFmtId="0" fontId="7" fillId="5" borderId="2" xfId="0" applyFont="1" applyFill="1" applyBorder="1" applyAlignment="1">
      <alignment horizontal="justify" wrapText="1"/>
    </xf>
    <xf numFmtId="165" fontId="12" fillId="0" borderId="10" xfId="15" applyFont="1" applyBorder="1" applyAlignment="1">
      <alignment horizontal="center" vertical="center" wrapText="1"/>
    </xf>
    <xf numFmtId="49" fontId="12" fillId="0" borderId="9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9" fontId="7" fillId="0" borderId="7" xfId="0" applyNumberFormat="1" applyFont="1" applyBorder="1" applyAlignment="1">
      <alignment horizontal="center"/>
    </xf>
    <xf numFmtId="10" fontId="7" fillId="0" borderId="7" xfId="0" applyNumberFormat="1" applyFont="1" applyBorder="1"/>
    <xf numFmtId="9" fontId="7" fillId="0" borderId="7" xfId="0" applyNumberFormat="1" applyFont="1" applyFill="1" applyBorder="1" applyAlignment="1">
      <alignment horizontal="center"/>
    </xf>
    <xf numFmtId="165" fontId="12" fillId="0" borderId="10" xfId="15" applyFont="1" applyBorder="1" applyAlignment="1">
      <alignment horizontal="center" vertical="center"/>
    </xf>
    <xf numFmtId="9" fontId="7" fillId="0" borderId="0" xfId="0" applyNumberFormat="1" applyFont="1" applyBorder="1" applyAlignment="1">
      <alignment horizontal="center"/>
    </xf>
    <xf numFmtId="165" fontId="12" fillId="0" borderId="20" xfId="15" applyFont="1" applyBorder="1"/>
    <xf numFmtId="0" fontId="7" fillId="0" borderId="18" xfId="0" applyFont="1" applyBorder="1"/>
    <xf numFmtId="0" fontId="12" fillId="0" borderId="9" xfId="0" applyFont="1" applyFill="1" applyBorder="1" applyAlignment="1">
      <alignment horizontal="justify" vertical="center" wrapText="1"/>
    </xf>
    <xf numFmtId="0" fontId="5" fillId="0" borderId="0" xfId="0" applyFont="1"/>
    <xf numFmtId="165" fontId="7" fillId="0" borderId="10" xfId="15" applyFont="1" applyBorder="1" applyAlignment="1">
      <alignment horizontal="center" vertical="center"/>
    </xf>
    <xf numFmtId="0" fontId="11" fillId="0" borderId="0" xfId="0" applyFont="1" applyFill="1" applyBorder="1"/>
    <xf numFmtId="165" fontId="9" fillId="0" borderId="0" xfId="15" applyFont="1" applyFill="1" applyBorder="1" applyAlignment="1">
      <alignment vertical="center"/>
    </xf>
    <xf numFmtId="0" fontId="17" fillId="0" borderId="0" xfId="0" applyFont="1"/>
    <xf numFmtId="0" fontId="12" fillId="0" borderId="19" xfId="0" applyFont="1" applyFill="1" applyBorder="1" applyAlignment="1">
      <alignment horizontal="justify" vertical="center" wrapText="1"/>
    </xf>
    <xf numFmtId="0" fontId="12" fillId="0" borderId="19" xfId="0" applyFont="1" applyFill="1" applyBorder="1" applyAlignment="1">
      <alignment vertical="center"/>
    </xf>
    <xf numFmtId="0" fontId="7" fillId="0" borderId="0" xfId="15" applyNumberFormat="1" applyFont="1" applyAlignment="1">
      <alignment vertical="center"/>
    </xf>
    <xf numFmtId="165" fontId="12" fillId="0" borderId="0" xfId="15" applyFont="1" applyFill="1" applyAlignment="1">
      <alignment vertical="center"/>
    </xf>
    <xf numFmtId="165" fontId="12" fillId="0" borderId="10" xfId="17" applyFont="1" applyBorder="1" applyAlignment="1">
      <alignment horizontal="center"/>
    </xf>
    <xf numFmtId="165" fontId="9" fillId="0" borderId="0" xfId="15" applyFont="1" applyAlignment="1">
      <alignment vertical="center" wrapText="1"/>
    </xf>
    <xf numFmtId="165" fontId="21" fillId="0" borderId="20" xfId="15" applyFont="1" applyBorder="1" applyAlignment="1">
      <alignment vertical="center" wrapText="1"/>
    </xf>
    <xf numFmtId="165" fontId="12" fillId="0" borderId="10" xfId="15" applyFont="1" applyFill="1" applyBorder="1" applyAlignment="1">
      <alignment vertical="center"/>
    </xf>
    <xf numFmtId="43" fontId="0" fillId="0" borderId="0" xfId="0" applyNumberFormat="1"/>
    <xf numFmtId="0" fontId="11" fillId="0" borderId="9" xfId="0" applyFont="1" applyBorder="1"/>
    <xf numFmtId="0" fontId="11" fillId="0" borderId="9" xfId="0" applyFont="1" applyBorder="1" applyAlignment="1">
      <alignment wrapText="1"/>
    </xf>
    <xf numFmtId="0" fontId="11" fillId="0" borderId="11" xfId="0" applyFont="1" applyBorder="1"/>
    <xf numFmtId="165" fontId="9" fillId="0" borderId="12" xfId="15" applyFont="1" applyBorder="1" applyAlignment="1">
      <alignment horizontal="center" vertical="center"/>
    </xf>
    <xf numFmtId="165" fontId="9" fillId="0" borderId="24" xfId="15" applyFont="1" applyBorder="1" applyAlignment="1">
      <alignment vertical="center"/>
    </xf>
    <xf numFmtId="165" fontId="9" fillId="0" borderId="25" xfId="15" applyFont="1" applyBorder="1" applyAlignment="1">
      <alignment vertical="center"/>
    </xf>
    <xf numFmtId="165" fontId="11" fillId="0" borderId="9" xfId="15" applyFont="1" applyBorder="1" applyAlignment="1">
      <alignment horizontal="justify" vertical="center" wrapText="1"/>
    </xf>
    <xf numFmtId="165" fontId="10" fillId="0" borderId="0" xfId="15" applyFont="1" applyBorder="1" applyAlignment="1">
      <alignment vertical="center"/>
    </xf>
    <xf numFmtId="171" fontId="10" fillId="0" borderId="0" xfId="15" applyNumberFormat="1" applyFont="1" applyFill="1" applyBorder="1" applyAlignment="1">
      <alignment horizontal="left" vertical="center"/>
    </xf>
    <xf numFmtId="165" fontId="9" fillId="0" borderId="20" xfId="15" applyFont="1" applyBorder="1" applyAlignment="1">
      <alignment vertical="center"/>
    </xf>
    <xf numFmtId="168" fontId="7" fillId="0" borderId="0" xfId="0" applyNumberFormat="1" applyFont="1" applyBorder="1"/>
    <xf numFmtId="0" fontId="10" fillId="0" borderId="0" xfId="15" applyNumberFormat="1" applyFont="1" applyBorder="1" applyAlignment="1">
      <alignment vertical="center"/>
    </xf>
    <xf numFmtId="0" fontId="10" fillId="0" borderId="0" xfId="15" applyNumberFormat="1" applyFont="1" applyBorder="1" applyAlignment="1">
      <alignment horizontal="left" vertical="center"/>
    </xf>
    <xf numFmtId="165" fontId="9" fillId="0" borderId="19" xfId="15" applyFont="1" applyBorder="1" applyAlignment="1">
      <alignment horizontal="justify" vertical="center" wrapText="1"/>
    </xf>
    <xf numFmtId="165" fontId="9" fillId="0" borderId="19" xfId="15" applyFont="1" applyBorder="1" applyAlignment="1">
      <alignment vertical="center"/>
    </xf>
    <xf numFmtId="0" fontId="9" fillId="0" borderId="0" xfId="15" applyNumberFormat="1" applyFont="1" applyBorder="1" applyAlignment="1">
      <alignment vertical="center"/>
    </xf>
    <xf numFmtId="165" fontId="7" fillId="0" borderId="20" xfId="15" applyFont="1" applyBorder="1" applyAlignment="1">
      <alignment vertical="center"/>
    </xf>
    <xf numFmtId="165" fontId="7" fillId="0" borderId="19" xfId="15" applyFont="1" applyBorder="1" applyAlignment="1">
      <alignment vertical="center"/>
    </xf>
    <xf numFmtId="0" fontId="7" fillId="0" borderId="0" xfId="15" applyNumberFormat="1" applyFont="1" applyBorder="1" applyAlignment="1">
      <alignment vertical="center"/>
    </xf>
    <xf numFmtId="165" fontId="7" fillId="0" borderId="0" xfId="15" applyFont="1" applyBorder="1" applyAlignment="1">
      <alignment vertical="center"/>
    </xf>
    <xf numFmtId="165" fontId="12" fillId="0" borderId="0" xfId="15" applyFont="1" applyFill="1" applyBorder="1" applyAlignment="1">
      <alignment vertical="center"/>
    </xf>
    <xf numFmtId="165" fontId="7" fillId="0" borderId="21" xfId="15" applyFont="1" applyBorder="1" applyAlignment="1">
      <alignment vertical="center"/>
    </xf>
    <xf numFmtId="0" fontId="7" fillId="0" borderId="1" xfId="0" applyFont="1" applyBorder="1"/>
    <xf numFmtId="165" fontId="7" fillId="0" borderId="1" xfId="15" applyFont="1" applyBorder="1" applyAlignment="1">
      <alignment vertical="center"/>
    </xf>
    <xf numFmtId="165" fontId="12" fillId="0" borderId="1" xfId="15" applyFont="1" applyFill="1" applyBorder="1" applyAlignment="1">
      <alignment vertical="center"/>
    </xf>
    <xf numFmtId="165" fontId="7" fillId="0" borderId="2" xfId="15" applyFont="1" applyBorder="1" applyAlignment="1">
      <alignment vertical="center"/>
    </xf>
    <xf numFmtId="165" fontId="7" fillId="0" borderId="9" xfId="15" applyFont="1" applyBorder="1" applyAlignment="1">
      <alignment horizontal="center" vertical="center"/>
    </xf>
    <xf numFmtId="165" fontId="9" fillId="0" borderId="12" xfId="15" applyNumberFormat="1" applyFont="1" applyFill="1" applyBorder="1" applyAlignment="1">
      <alignment vertical="center"/>
    </xf>
    <xf numFmtId="165" fontId="9" fillId="0" borderId="13" xfId="15" applyFont="1" applyFill="1" applyBorder="1" applyAlignment="1">
      <alignment vertical="center"/>
    </xf>
    <xf numFmtId="165" fontId="7" fillId="2" borderId="10" xfId="15" applyFont="1" applyFill="1" applyBorder="1" applyAlignment="1">
      <alignment vertical="center"/>
    </xf>
    <xf numFmtId="165" fontId="11" fillId="2" borderId="10" xfId="15" applyFont="1" applyFill="1" applyBorder="1" applyAlignment="1">
      <alignment horizontal="center" vertical="center"/>
    </xf>
    <xf numFmtId="165" fontId="7" fillId="0" borderId="9" xfId="15" applyFont="1" applyBorder="1" applyAlignment="1">
      <alignment vertical="center"/>
    </xf>
    <xf numFmtId="165" fontId="7" fillId="0" borderId="10" xfId="15" applyFont="1" applyBorder="1" applyAlignment="1">
      <alignment vertical="center"/>
    </xf>
    <xf numFmtId="165" fontId="7" fillId="0" borderId="11" xfId="15" applyFont="1" applyBorder="1" applyAlignment="1">
      <alignment vertical="center"/>
    </xf>
    <xf numFmtId="165" fontId="7" fillId="0" borderId="12" xfId="15" applyFont="1" applyBorder="1" applyAlignment="1">
      <alignment vertical="center"/>
    </xf>
    <xf numFmtId="165" fontId="7" fillId="0" borderId="13" xfId="15" applyFont="1" applyBorder="1" applyAlignment="1">
      <alignment vertical="center"/>
    </xf>
    <xf numFmtId="165" fontId="7" fillId="0" borderId="10" xfId="15" applyFont="1" applyBorder="1" applyAlignment="1">
      <alignment horizontal="left" vertical="center"/>
    </xf>
    <xf numFmtId="9" fontId="7" fillId="0" borderId="7" xfId="0" applyNumberFormat="1" applyFont="1" applyBorder="1" applyAlignment="1">
      <alignment horizontal="center" vertical="center"/>
    </xf>
    <xf numFmtId="165" fontId="7" fillId="0" borderId="7" xfId="0" applyNumberFormat="1" applyFont="1" applyFill="1" applyBorder="1" applyAlignment="1">
      <alignment vertical="center"/>
    </xf>
    <xf numFmtId="165" fontId="7" fillId="0" borderId="7" xfId="17" applyFont="1" applyBorder="1" applyAlignment="1">
      <alignment horizontal="center"/>
    </xf>
    <xf numFmtId="165" fontId="7" fillId="0" borderId="10" xfId="17" applyFont="1" applyBorder="1" applyAlignment="1">
      <alignment horizontal="center"/>
    </xf>
    <xf numFmtId="0" fontId="5" fillId="0" borderId="0" xfId="6"/>
    <xf numFmtId="0" fontId="5" fillId="0" borderId="10" xfId="6" applyBorder="1"/>
    <xf numFmtId="0" fontId="19" fillId="0" borderId="9" xfId="6" applyFont="1" applyFill="1" applyBorder="1" applyAlignment="1"/>
    <xf numFmtId="0" fontId="19" fillId="0" borderId="7" xfId="6" applyFont="1" applyFill="1" applyBorder="1" applyAlignment="1"/>
    <xf numFmtId="0" fontId="21" fillId="0" borderId="9" xfId="6" applyFont="1" applyFill="1" applyBorder="1" applyAlignment="1"/>
    <xf numFmtId="0" fontId="21" fillId="0" borderId="7" xfId="6" applyFont="1" applyFill="1" applyBorder="1" applyAlignment="1"/>
    <xf numFmtId="0" fontId="21" fillId="0" borderId="7" xfId="6" applyFont="1" applyFill="1" applyBorder="1" applyAlignment="1">
      <alignment wrapText="1"/>
    </xf>
    <xf numFmtId="165" fontId="21" fillId="0" borderId="9" xfId="6" applyNumberFormat="1" applyFont="1" applyBorder="1" applyAlignment="1">
      <alignment vertical="center"/>
    </xf>
    <xf numFmtId="165" fontId="21" fillId="0" borderId="7" xfId="6" applyNumberFormat="1" applyFont="1" applyBorder="1" applyAlignment="1">
      <alignment vertical="center"/>
    </xf>
    <xf numFmtId="0" fontId="4" fillId="0" borderId="7" xfId="6" applyFont="1" applyBorder="1" applyAlignment="1">
      <alignment horizontal="center" vertical="center"/>
    </xf>
    <xf numFmtId="0" fontId="4" fillId="0" borderId="7" xfId="6" applyFont="1" applyBorder="1"/>
    <xf numFmtId="0" fontId="2" fillId="0" borderId="10" xfId="6" applyFont="1" applyBorder="1"/>
    <xf numFmtId="4" fontId="5" fillId="0" borderId="0" xfId="6" applyNumberFormat="1"/>
    <xf numFmtId="9" fontId="16" fillId="7" borderId="7" xfId="6" applyNumberFormat="1" applyFont="1" applyFill="1" applyBorder="1" applyAlignment="1">
      <alignment horizontal="center" vertical="center"/>
    </xf>
    <xf numFmtId="4" fontId="19" fillId="7" borderId="12" xfId="6" applyNumberFormat="1" applyFont="1" applyFill="1" applyBorder="1" applyAlignment="1">
      <alignment vertical="center" textRotation="180"/>
    </xf>
    <xf numFmtId="9" fontId="16" fillId="0" borderId="7" xfId="6" applyNumberFormat="1" applyFont="1" applyFill="1" applyBorder="1" applyAlignment="1">
      <alignment horizontal="center" vertical="center"/>
    </xf>
    <xf numFmtId="4" fontId="2" fillId="0" borderId="10" xfId="6" applyNumberFormat="1" applyFont="1" applyFill="1" applyBorder="1" applyAlignment="1">
      <alignment horizontal="center" vertical="center"/>
    </xf>
    <xf numFmtId="4" fontId="4" fillId="0" borderId="10" xfId="6" applyNumberFormat="1" applyFont="1" applyBorder="1" applyAlignment="1">
      <alignment horizontal="center" vertical="center"/>
    </xf>
    <xf numFmtId="4" fontId="2" fillId="0" borderId="0" xfId="6" applyNumberFormat="1" applyFont="1" applyAlignment="1">
      <alignment vertical="center"/>
    </xf>
    <xf numFmtId="0" fontId="7" fillId="0" borderId="7" xfId="6" applyFont="1" applyBorder="1" applyAlignment="1">
      <alignment horizontal="justify" vertical="center" wrapText="1"/>
    </xf>
    <xf numFmtId="0" fontId="10" fillId="0" borderId="9" xfId="6" applyFont="1" applyFill="1" applyBorder="1" applyAlignment="1">
      <alignment horizontal="center" vertical="center"/>
    </xf>
    <xf numFmtId="0" fontId="7" fillId="0" borderId="7" xfId="6" applyFont="1" applyFill="1" applyBorder="1" applyAlignment="1">
      <alignment horizontal="justify" vertical="center" wrapText="1"/>
    </xf>
    <xf numFmtId="0" fontId="7" fillId="0" borderId="10" xfId="0" applyFont="1" applyBorder="1"/>
    <xf numFmtId="0" fontId="14" fillId="0" borderId="9" xfId="0" applyFont="1" applyBorder="1"/>
    <xf numFmtId="165" fontId="12" fillId="0" borderId="10" xfId="0" applyNumberFormat="1" applyFont="1" applyBorder="1" applyAlignment="1">
      <alignment vertical="center"/>
    </xf>
    <xf numFmtId="165" fontId="12" fillId="0" borderId="29" xfId="0" applyNumberFormat="1" applyFont="1" applyBorder="1" applyAlignment="1"/>
    <xf numFmtId="43" fontId="7" fillId="0" borderId="0" xfId="0" applyNumberFormat="1" applyFont="1"/>
    <xf numFmtId="0" fontId="12" fillId="0" borderId="7" xfId="0" applyFont="1" applyFill="1" applyBorder="1" applyAlignment="1">
      <alignment horizontal="center" wrapText="1"/>
    </xf>
    <xf numFmtId="0" fontId="12" fillId="0" borderId="7" xfId="0" applyFont="1" applyBorder="1" applyAlignment="1">
      <alignment horizontal="center" wrapText="1"/>
    </xf>
    <xf numFmtId="165" fontId="12" fillId="0" borderId="7" xfId="15" applyFont="1" applyBorder="1" applyAlignment="1">
      <alignment horizontal="center" wrapText="1"/>
    </xf>
    <xf numFmtId="0" fontId="12" fillId="0" borderId="9" xfId="0" applyFont="1" applyBorder="1" applyAlignment="1">
      <alignment horizontal="center"/>
    </xf>
    <xf numFmtId="165" fontId="12" fillId="0" borderId="9" xfId="0" applyNumberFormat="1" applyFont="1" applyBorder="1" applyAlignment="1">
      <alignment vertical="center"/>
    </xf>
    <xf numFmtId="165" fontId="12" fillId="0" borderId="10" xfId="15" applyFont="1" applyBorder="1" applyAlignment="1">
      <alignment horizontal="center" wrapText="1"/>
    </xf>
    <xf numFmtId="0" fontId="12" fillId="0" borderId="17" xfId="0" applyFont="1" applyBorder="1" applyAlignment="1">
      <alignment horizontal="center"/>
    </xf>
    <xf numFmtId="165" fontId="12" fillId="0" borderId="22" xfId="0" applyNumberFormat="1" applyFont="1" applyBorder="1" applyAlignment="1">
      <alignment vertical="center"/>
    </xf>
    <xf numFmtId="43" fontId="12" fillId="0" borderId="29" xfId="0" applyNumberFormat="1" applyFont="1" applyBorder="1"/>
    <xf numFmtId="0" fontId="7" fillId="0" borderId="22" xfId="0" applyFont="1" applyBorder="1"/>
    <xf numFmtId="0" fontId="7" fillId="0" borderId="33" xfId="0" applyFont="1" applyBorder="1"/>
    <xf numFmtId="172" fontId="12" fillId="0" borderId="9" xfId="0" applyNumberFormat="1" applyFont="1" applyBorder="1" applyAlignment="1">
      <alignment horizontal="left"/>
    </xf>
    <xf numFmtId="0" fontId="12" fillId="8" borderId="9" xfId="0" applyFont="1" applyFill="1" applyBorder="1" applyAlignment="1">
      <alignment vertical="center" wrapText="1"/>
    </xf>
    <xf numFmtId="0" fontId="7" fillId="8" borderId="7" xfId="0" applyFont="1" applyFill="1" applyBorder="1"/>
    <xf numFmtId="9" fontId="7" fillId="8" borderId="7" xfId="0" applyNumberFormat="1" applyFont="1" applyFill="1" applyBorder="1" applyAlignment="1">
      <alignment horizontal="center"/>
    </xf>
    <xf numFmtId="0" fontId="7" fillId="8" borderId="7" xfId="0" applyFont="1" applyFill="1" applyBorder="1" applyAlignment="1">
      <alignment horizontal="center"/>
    </xf>
    <xf numFmtId="165" fontId="7" fillId="0" borderId="7" xfId="0" applyNumberFormat="1" applyFont="1" applyBorder="1" applyAlignment="1"/>
    <xf numFmtId="165" fontId="12" fillId="0" borderId="7" xfId="0" applyNumberFormat="1" applyFont="1" applyBorder="1" applyAlignment="1"/>
    <xf numFmtId="165" fontId="7" fillId="0" borderId="9" xfId="0" applyNumberFormat="1" applyFont="1" applyBorder="1" applyAlignment="1"/>
    <xf numFmtId="165" fontId="7" fillId="0" borderId="10" xfId="0" applyNumberFormat="1" applyFont="1" applyBorder="1" applyAlignment="1"/>
    <xf numFmtId="165" fontId="12" fillId="0" borderId="29" xfId="15" applyFont="1" applyBorder="1" applyAlignment="1">
      <alignment horizontal="center" vertical="center"/>
    </xf>
    <xf numFmtId="0" fontId="12" fillId="0" borderId="7" xfId="6" applyFont="1" applyFill="1" applyBorder="1" applyAlignment="1">
      <alignment horizontal="justify" vertical="center" wrapText="1"/>
    </xf>
    <xf numFmtId="4" fontId="4" fillId="0" borderId="13" xfId="6" applyNumberFormat="1" applyFont="1" applyBorder="1" applyAlignment="1" applyProtection="1">
      <alignment horizontal="center" vertical="center"/>
      <protection locked="0"/>
    </xf>
    <xf numFmtId="173" fontId="5" fillId="0" borderId="0" xfId="6" applyNumberFormat="1"/>
    <xf numFmtId="4" fontId="4" fillId="0" borderId="10" xfId="6" applyNumberFormat="1" applyFont="1" applyFill="1" applyBorder="1" applyAlignment="1">
      <alignment horizontal="center" vertical="center"/>
    </xf>
    <xf numFmtId="43" fontId="5" fillId="0" borderId="0" xfId="6" applyNumberFormat="1"/>
    <xf numFmtId="0" fontId="12" fillId="0" borderId="0" xfId="0" applyFont="1"/>
    <xf numFmtId="165" fontId="7" fillId="0" borderId="0" xfId="15" applyFont="1" applyFill="1" applyBorder="1" applyAlignment="1">
      <alignment horizontal="right" vertical="center"/>
    </xf>
    <xf numFmtId="4" fontId="9" fillId="3" borderId="7" xfId="0" applyNumberFormat="1" applyFont="1" applyFill="1" applyBorder="1" applyAlignment="1">
      <alignment horizontal="right" vertical="center"/>
    </xf>
    <xf numFmtId="4" fontId="9" fillId="7" borderId="7" xfId="0" applyNumberFormat="1" applyFont="1" applyFill="1" applyBorder="1" applyAlignment="1">
      <alignment horizontal="right" vertical="center"/>
    </xf>
    <xf numFmtId="4" fontId="9" fillId="3" borderId="12" xfId="0" applyNumberFormat="1" applyFont="1" applyFill="1" applyBorder="1" applyAlignment="1">
      <alignment horizontal="right" vertical="center"/>
    </xf>
    <xf numFmtId="165" fontId="12" fillId="0" borderId="0" xfId="17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165" fontId="12" fillId="0" borderId="0" xfId="0" applyNumberFormat="1" applyFont="1" applyBorder="1" applyAlignment="1"/>
    <xf numFmtId="165" fontId="12" fillId="0" borderId="10" xfId="0" applyNumberFormat="1" applyFont="1" applyBorder="1" applyAlignment="1">
      <alignment horizontal="center"/>
    </xf>
    <xf numFmtId="165" fontId="23" fillId="0" borderId="10" xfId="0" applyNumberFormat="1" applyFont="1" applyBorder="1" applyAlignment="1">
      <alignment horizontal="center"/>
    </xf>
    <xf numFmtId="165" fontId="7" fillId="0" borderId="7" xfId="17" applyFont="1" applyFill="1" applyBorder="1" applyAlignment="1">
      <alignment horizontal="center"/>
    </xf>
    <xf numFmtId="165" fontId="7" fillId="0" borderId="0" xfId="15" applyFont="1" applyAlignment="1">
      <alignment horizontal="right" vertical="center"/>
    </xf>
    <xf numFmtId="175" fontId="7" fillId="0" borderId="0" xfId="15" applyNumberFormat="1" applyFont="1" applyAlignment="1">
      <alignment vertical="center"/>
    </xf>
    <xf numFmtId="175" fontId="0" fillId="0" borderId="0" xfId="0" applyNumberFormat="1"/>
    <xf numFmtId="0" fontId="0" fillId="0" borderId="0" xfId="0" applyAlignment="1">
      <alignment horizontal="right"/>
    </xf>
    <xf numFmtId="0" fontId="12" fillId="0" borderId="7" xfId="0" applyFont="1" applyBorder="1" applyAlignment="1">
      <alignment horizontal="center"/>
    </xf>
    <xf numFmtId="0" fontId="28" fillId="0" borderId="7" xfId="0" applyFont="1" applyFill="1" applyBorder="1" applyAlignment="1">
      <alignment horizontal="center"/>
    </xf>
    <xf numFmtId="0" fontId="28" fillId="0" borderId="7" xfId="0" applyFont="1" applyFill="1" applyBorder="1" applyAlignment="1">
      <alignment horizontal="center" vertical="center"/>
    </xf>
    <xf numFmtId="0" fontId="29" fillId="0" borderId="9" xfId="0" applyFont="1" applyFill="1" applyBorder="1" applyAlignment="1">
      <alignment horizontal="right" wrapText="1"/>
    </xf>
    <xf numFmtId="0" fontId="28" fillId="0" borderId="7" xfId="0" applyFont="1" applyFill="1" applyBorder="1"/>
    <xf numFmtId="9" fontId="28" fillId="0" borderId="7" xfId="0" applyNumberFormat="1" applyFont="1" applyFill="1" applyBorder="1" applyAlignment="1">
      <alignment horizontal="center"/>
    </xf>
    <xf numFmtId="165" fontId="28" fillId="0" borderId="7" xfId="0" applyNumberFormat="1" applyFont="1" applyFill="1" applyBorder="1" applyAlignment="1">
      <alignment vertical="center"/>
    </xf>
    <xf numFmtId="165" fontId="29" fillId="0" borderId="10" xfId="15" applyFont="1" applyFill="1" applyBorder="1" applyAlignment="1">
      <alignment vertical="center"/>
    </xf>
    <xf numFmtId="0" fontId="7" fillId="5" borderId="19" xfId="0" applyFont="1" applyFill="1" applyBorder="1" applyAlignment="1">
      <alignment wrapText="1"/>
    </xf>
    <xf numFmtId="171" fontId="12" fillId="0" borderId="9" xfId="0" applyNumberFormat="1" applyFont="1" applyBorder="1" applyAlignment="1">
      <alignment horizontal="left"/>
    </xf>
    <xf numFmtId="0" fontId="12" fillId="0" borderId="7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2" fillId="0" borderId="9" xfId="0" applyFont="1" applyBorder="1" applyAlignment="1">
      <alignment horizontal="left"/>
    </xf>
    <xf numFmtId="0" fontId="12" fillId="0" borderId="10" xfId="0" applyFont="1" applyBorder="1" applyAlignment="1">
      <alignment horizontal="center"/>
    </xf>
    <xf numFmtId="165" fontId="12" fillId="0" borderId="10" xfId="17" applyFont="1" applyBorder="1" applyAlignment="1">
      <alignment horizontal="center" vertical="center"/>
    </xf>
    <xf numFmtId="10" fontId="0" fillId="0" borderId="0" xfId="27" applyNumberFormat="1" applyFont="1"/>
    <xf numFmtId="0" fontId="7" fillId="0" borderId="37" xfId="0" applyFont="1" applyFill="1" applyBorder="1"/>
    <xf numFmtId="9" fontId="7" fillId="0" borderId="37" xfId="0" applyNumberFormat="1" applyFont="1" applyFill="1" applyBorder="1" applyAlignment="1">
      <alignment horizontal="center"/>
    </xf>
    <xf numFmtId="0" fontId="7" fillId="0" borderId="37" xfId="0" applyFont="1" applyFill="1" applyBorder="1" applyAlignment="1">
      <alignment horizontal="center" vertical="center"/>
    </xf>
    <xf numFmtId="165" fontId="7" fillId="0" borderId="37" xfId="0" applyNumberFormat="1" applyFont="1" applyFill="1" applyBorder="1" applyAlignment="1">
      <alignment vertical="center"/>
    </xf>
    <xf numFmtId="165" fontId="12" fillId="0" borderId="38" xfId="15" applyFont="1" applyFill="1" applyBorder="1" applyAlignment="1">
      <alignment vertical="center"/>
    </xf>
    <xf numFmtId="165" fontId="7" fillId="8" borderId="10" xfId="10" applyFont="1" applyFill="1" applyBorder="1"/>
    <xf numFmtId="165" fontId="12" fillId="0" borderId="10" xfId="10" applyFont="1" applyBorder="1" applyAlignment="1">
      <alignment horizontal="center" vertical="center"/>
    </xf>
    <xf numFmtId="165" fontId="12" fillId="0" borderId="10" xfId="10" applyFont="1" applyFill="1" applyBorder="1" applyAlignment="1">
      <alignment vertical="center"/>
    </xf>
    <xf numFmtId="0" fontId="7" fillId="5" borderId="19" xfId="0" applyFont="1" applyFill="1" applyBorder="1" applyAlignment="1">
      <alignment horizontal="left" wrapText="1"/>
    </xf>
    <xf numFmtId="0" fontId="7" fillId="5" borderId="0" xfId="0" applyFont="1" applyFill="1" applyBorder="1" applyAlignment="1">
      <alignment wrapText="1"/>
    </xf>
    <xf numFmtId="0" fontId="7" fillId="5" borderId="20" xfId="0" applyFont="1" applyFill="1" applyBorder="1" applyAlignment="1">
      <alignment wrapText="1"/>
    </xf>
    <xf numFmtId="0" fontId="12" fillId="0" borderId="9" xfId="0" applyFont="1" applyBorder="1" applyAlignment="1">
      <alignment horizontal="center" vertical="center" wrapText="1"/>
    </xf>
    <xf numFmtId="0" fontId="7" fillId="0" borderId="0" xfId="5" applyFont="1"/>
    <xf numFmtId="0" fontId="13" fillId="0" borderId="0" xfId="5" applyFont="1"/>
    <xf numFmtId="0" fontId="5" fillId="0" borderId="0" xfId="5"/>
    <xf numFmtId="43" fontId="7" fillId="0" borderId="0" xfId="5" applyNumberFormat="1" applyFont="1"/>
    <xf numFmtId="0" fontId="7" fillId="0" borderId="7" xfId="5" applyFont="1" applyBorder="1"/>
    <xf numFmtId="0" fontId="12" fillId="0" borderId="10" xfId="5" applyFont="1" applyBorder="1" applyAlignment="1">
      <alignment horizontal="center"/>
    </xf>
    <xf numFmtId="0" fontId="12" fillId="0" borderId="9" xfId="5" applyFont="1" applyBorder="1"/>
    <xf numFmtId="0" fontId="7" fillId="0" borderId="7" xfId="5" applyFont="1" applyFill="1" applyBorder="1" applyAlignment="1">
      <alignment horizontal="center"/>
    </xf>
    <xf numFmtId="0" fontId="7" fillId="0" borderId="7" xfId="5" applyFont="1" applyFill="1" applyBorder="1" applyAlignment="1">
      <alignment horizontal="center" wrapText="1"/>
    </xf>
    <xf numFmtId="0" fontId="7" fillId="0" borderId="9" xfId="5" applyFont="1" applyFill="1" applyBorder="1" applyAlignment="1">
      <alignment vertical="center"/>
    </xf>
    <xf numFmtId="165" fontId="7" fillId="0" borderId="10" xfId="17" applyFont="1" applyBorder="1" applyAlignment="1">
      <alignment horizontal="center" vertical="center"/>
    </xf>
    <xf numFmtId="165" fontId="7" fillId="0" borderId="7" xfId="17" applyFont="1" applyBorder="1" applyAlignment="1">
      <alignment horizontal="center" vertical="center"/>
    </xf>
    <xf numFmtId="0" fontId="7" fillId="0" borderId="7" xfId="5" applyFont="1" applyBorder="1" applyAlignment="1">
      <alignment horizontal="center" vertical="center"/>
    </xf>
    <xf numFmtId="0" fontId="7" fillId="0" borderId="7" xfId="5" applyFont="1" applyFill="1" applyBorder="1" applyAlignment="1">
      <alignment horizontal="center" vertical="center"/>
    </xf>
    <xf numFmtId="0" fontId="7" fillId="0" borderId="9" xfId="5" applyFont="1" applyBorder="1" applyAlignment="1">
      <alignment horizontal="justify" vertical="center" wrapText="1"/>
    </xf>
    <xf numFmtId="0" fontId="12" fillId="0" borderId="7" xfId="5" applyFont="1" applyBorder="1"/>
    <xf numFmtId="0" fontId="12" fillId="0" borderId="9" xfId="5" applyFont="1" applyBorder="1" applyAlignment="1">
      <alignment horizontal="left"/>
    </xf>
    <xf numFmtId="171" fontId="12" fillId="0" borderId="9" xfId="5" applyNumberFormat="1" applyFont="1" applyBorder="1" applyAlignment="1">
      <alignment horizontal="left"/>
    </xf>
    <xf numFmtId="165" fontId="12" fillId="0" borderId="10" xfId="17" applyFont="1" applyFill="1" applyBorder="1" applyAlignment="1">
      <alignment vertical="center"/>
    </xf>
    <xf numFmtId="4" fontId="4" fillId="0" borderId="22" xfId="6" applyNumberFormat="1" applyFont="1" applyFill="1" applyBorder="1" applyAlignment="1">
      <alignment horizontal="center" vertical="center"/>
    </xf>
    <xf numFmtId="0" fontId="10" fillId="0" borderId="14" xfId="6" applyFont="1" applyFill="1" applyBorder="1" applyAlignment="1">
      <alignment horizontal="center" vertical="center"/>
    </xf>
    <xf numFmtId="10" fontId="4" fillId="0" borderId="10" xfId="6" applyNumberFormat="1" applyFont="1" applyFill="1" applyBorder="1" applyAlignment="1">
      <alignment horizontal="center" vertical="center"/>
    </xf>
    <xf numFmtId="0" fontId="2" fillId="0" borderId="10" xfId="6" applyFont="1" applyBorder="1" applyAlignment="1">
      <alignment horizontal="center"/>
    </xf>
    <xf numFmtId="10" fontId="0" fillId="0" borderId="36" xfId="0" applyNumberFormat="1" applyBorder="1" applyAlignment="1">
      <alignment horizontal="center" vertical="center" textRotation="90"/>
    </xf>
    <xf numFmtId="9" fontId="4" fillId="0" borderId="16" xfId="6" applyNumberFormat="1" applyFont="1" applyFill="1" applyBorder="1" applyAlignment="1">
      <alignment horizontal="center" vertical="center"/>
    </xf>
    <xf numFmtId="10" fontId="5" fillId="0" borderId="0" xfId="6" applyNumberFormat="1"/>
    <xf numFmtId="10" fontId="0" fillId="0" borderId="36" xfId="0" applyNumberFormat="1" applyBorder="1" applyAlignment="1">
      <alignment horizontal="center" vertical="center" wrapText="1"/>
    </xf>
    <xf numFmtId="10" fontId="19" fillId="0" borderId="57" xfId="6" applyNumberFormat="1" applyFont="1" applyBorder="1" applyAlignment="1">
      <alignment horizontal="left" vertical="center" wrapText="1"/>
    </xf>
    <xf numFmtId="10" fontId="0" fillId="0" borderId="58" xfId="0" applyNumberFormat="1" applyBorder="1" applyAlignment="1">
      <alignment wrapText="1"/>
    </xf>
    <xf numFmtId="10" fontId="0" fillId="0" borderId="59" xfId="0" applyNumberFormat="1" applyBorder="1" applyAlignment="1">
      <alignment wrapText="1"/>
    </xf>
    <xf numFmtId="10" fontId="0" fillId="0" borderId="36" xfId="0" applyNumberFormat="1" applyBorder="1" applyAlignment="1">
      <alignment wrapText="1"/>
    </xf>
    <xf numFmtId="10" fontId="4" fillId="0" borderId="36" xfId="6" applyNumberFormat="1" applyFont="1" applyBorder="1" applyAlignment="1">
      <alignment horizontal="center"/>
    </xf>
    <xf numFmtId="0" fontId="21" fillId="0" borderId="17" xfId="6" applyFont="1" applyFill="1" applyBorder="1" applyAlignment="1">
      <alignment horizontal="center" vertical="center"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0" fontId="5" fillId="0" borderId="18" xfId="0" applyFont="1" applyBorder="1" applyAlignment="1">
      <alignment wrapText="1"/>
    </xf>
    <xf numFmtId="10" fontId="5" fillId="0" borderId="22" xfId="0" applyNumberFormat="1" applyFont="1" applyBorder="1" applyAlignment="1">
      <alignment wrapText="1"/>
    </xf>
    <xf numFmtId="4" fontId="9" fillId="0" borderId="7" xfId="0" applyNumberFormat="1" applyFont="1" applyFill="1" applyBorder="1" applyAlignment="1">
      <alignment horizontal="right" vertical="center"/>
    </xf>
    <xf numFmtId="0" fontId="12" fillId="5" borderId="19" xfId="0" applyFont="1" applyFill="1" applyBorder="1" applyAlignment="1">
      <alignment wrapText="1"/>
    </xf>
    <xf numFmtId="0" fontId="7" fillId="5" borderId="0" xfId="0" applyFont="1" applyFill="1" applyBorder="1" applyAlignment="1">
      <alignment wrapText="1"/>
    </xf>
    <xf numFmtId="0" fontId="7" fillId="5" borderId="20" xfId="0" applyFont="1" applyFill="1" applyBorder="1" applyAlignment="1">
      <alignment wrapText="1"/>
    </xf>
    <xf numFmtId="0" fontId="7" fillId="5" borderId="19" xfId="0" applyFont="1" applyFill="1" applyBorder="1" applyAlignment="1">
      <alignment wrapText="1"/>
    </xf>
    <xf numFmtId="165" fontId="12" fillId="0" borderId="35" xfId="17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wrapText="1"/>
    </xf>
    <xf numFmtId="165" fontId="12" fillId="0" borderId="35" xfId="0" applyNumberFormat="1" applyFont="1" applyBorder="1" applyAlignment="1"/>
    <xf numFmtId="0" fontId="12" fillId="0" borderId="9" xfId="0" applyFont="1" applyFill="1" applyBorder="1" applyAlignment="1">
      <alignment horizontal="right" vertical="center"/>
    </xf>
    <xf numFmtId="0" fontId="23" fillId="0" borderId="7" xfId="6" applyFont="1" applyFill="1" applyBorder="1" applyAlignment="1">
      <alignment horizontal="justify" vertical="center" wrapText="1"/>
    </xf>
    <xf numFmtId="4" fontId="2" fillId="7" borderId="7" xfId="6" applyNumberFormat="1" applyFont="1" applyFill="1" applyBorder="1" applyAlignment="1">
      <alignment horizontal="center" vertical="center" textRotation="90"/>
    </xf>
    <xf numFmtId="10" fontId="2" fillId="0" borderId="36" xfId="6" applyNumberFormat="1" applyFont="1" applyFill="1" applyBorder="1" applyAlignment="1">
      <alignment horizontal="center" vertical="center" textRotation="90"/>
    </xf>
    <xf numFmtId="10" fontId="2" fillId="0" borderId="36" xfId="0" applyNumberFormat="1" applyFont="1" applyBorder="1" applyAlignment="1">
      <alignment horizontal="center" vertical="center" textRotation="90"/>
    </xf>
    <xf numFmtId="4" fontId="2" fillId="0" borderId="7" xfId="6" applyNumberFormat="1" applyFont="1" applyFill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textRotation="90"/>
    </xf>
    <xf numFmtId="0" fontId="2" fillId="7" borderId="7" xfId="0" applyFont="1" applyFill="1" applyBorder="1" applyAlignment="1">
      <alignment horizontal="center" vertical="center" textRotation="90"/>
    </xf>
    <xf numFmtId="10" fontId="2" fillId="0" borderId="57" xfId="6" applyNumberFormat="1" applyFont="1" applyFill="1" applyBorder="1" applyAlignment="1">
      <alignment horizontal="center" vertical="center" textRotation="90"/>
    </xf>
    <xf numFmtId="10" fontId="2" fillId="0" borderId="7" xfId="6" applyNumberFormat="1" applyFont="1" applyFill="1" applyBorder="1" applyAlignment="1">
      <alignment horizontal="center" vertical="center" textRotation="90"/>
    </xf>
    <xf numFmtId="10" fontId="2" fillId="0" borderId="59" xfId="6" applyNumberFormat="1" applyFont="1" applyFill="1" applyBorder="1" applyAlignment="1">
      <alignment horizontal="center" vertical="center" textRotation="90"/>
    </xf>
    <xf numFmtId="4" fontId="2" fillId="7" borderId="12" xfId="6" applyNumberFormat="1" applyFont="1" applyFill="1" applyBorder="1" applyAlignment="1">
      <alignment horizontal="center" vertical="center" textRotation="90"/>
    </xf>
    <xf numFmtId="10" fontId="2" fillId="9" borderId="36" xfId="27" applyNumberFormat="1" applyFont="1" applyFill="1" applyBorder="1" applyAlignment="1">
      <alignment horizontal="center" vertical="center" textRotation="90"/>
    </xf>
    <xf numFmtId="2" fontId="2" fillId="7" borderId="7" xfId="6" applyNumberFormat="1" applyFont="1" applyFill="1" applyBorder="1" applyAlignment="1">
      <alignment horizontal="center" vertical="center" textRotation="90"/>
    </xf>
    <xf numFmtId="2" fontId="2" fillId="0" borderId="7" xfId="6" applyNumberFormat="1" applyFont="1" applyFill="1" applyBorder="1" applyAlignment="1">
      <alignment horizontal="center" vertical="center" textRotation="90"/>
    </xf>
    <xf numFmtId="10" fontId="2" fillId="9" borderId="36" xfId="6" applyNumberFormat="1" applyFont="1" applyFill="1" applyBorder="1" applyAlignment="1">
      <alignment horizontal="center" vertical="center" textRotation="90"/>
    </xf>
    <xf numFmtId="0" fontId="2" fillId="0" borderId="0" xfId="6" applyFont="1"/>
    <xf numFmtId="4" fontId="2" fillId="9" borderId="7" xfId="6" applyNumberFormat="1" applyFont="1" applyFill="1" applyBorder="1" applyAlignment="1">
      <alignment horizontal="center" vertical="center" textRotation="90"/>
    </xf>
    <xf numFmtId="10" fontId="2" fillId="0" borderId="18" xfId="0" applyNumberFormat="1" applyFont="1" applyBorder="1" applyAlignment="1">
      <alignment horizontal="center" vertical="center" textRotation="90" wrapText="1"/>
    </xf>
    <xf numFmtId="10" fontId="2" fillId="0" borderId="57" xfId="0" applyNumberFormat="1" applyFont="1" applyBorder="1" applyAlignment="1">
      <alignment horizontal="center" vertical="center" textRotation="90" wrapText="1"/>
    </xf>
    <xf numFmtId="10" fontId="2" fillId="9" borderId="40" xfId="6" applyNumberFormat="1" applyFont="1" applyFill="1" applyBorder="1" applyAlignment="1">
      <alignment horizontal="center" vertical="center" textRotation="90"/>
    </xf>
    <xf numFmtId="4" fontId="2" fillId="0" borderId="7" xfId="6" applyNumberFormat="1" applyFont="1" applyFill="1" applyBorder="1" applyAlignment="1">
      <alignment horizontal="center" vertical="center" textRotation="90"/>
    </xf>
    <xf numFmtId="10" fontId="2" fillId="0" borderId="0" xfId="6" applyNumberFormat="1" applyFont="1" applyAlignment="1">
      <alignment vertical="center"/>
    </xf>
    <xf numFmtId="165" fontId="11" fillId="2" borderId="7" xfId="15" applyFont="1" applyFill="1" applyBorder="1" applyAlignment="1">
      <alignment horizontal="center" vertical="center"/>
    </xf>
    <xf numFmtId="165" fontId="9" fillId="0" borderId="7" xfId="15" applyFont="1" applyFill="1" applyBorder="1" applyAlignment="1">
      <alignment vertical="center"/>
    </xf>
    <xf numFmtId="4" fontId="2" fillId="0" borderId="36" xfId="6" applyNumberFormat="1" applyFont="1" applyFill="1" applyBorder="1" applyAlignment="1">
      <alignment horizontal="center" vertical="center" textRotation="90"/>
    </xf>
    <xf numFmtId="4" fontId="2" fillId="0" borderId="57" xfId="6" applyNumberFormat="1" applyFont="1" applyFill="1" applyBorder="1" applyAlignment="1">
      <alignment horizontal="center" vertical="center" textRotation="90"/>
    </xf>
    <xf numFmtId="165" fontId="32" fillId="0" borderId="9" xfId="0" applyNumberFormat="1" applyFont="1" applyBorder="1" applyAlignment="1">
      <alignment horizontal="justify" vertical="center" wrapText="1"/>
    </xf>
    <xf numFmtId="1" fontId="32" fillId="0" borderId="7" xfId="0" applyNumberFormat="1" applyFont="1" applyBorder="1" applyAlignment="1">
      <alignment horizontal="center" vertical="center"/>
    </xf>
    <xf numFmtId="0" fontId="32" fillId="0" borderId="7" xfId="0" applyFont="1" applyFill="1" applyBorder="1" applyAlignment="1">
      <alignment horizontal="center" vertical="center"/>
    </xf>
    <xf numFmtId="0" fontId="32" fillId="0" borderId="7" xfId="0" applyFont="1" applyBorder="1" applyAlignment="1">
      <alignment horizontal="center" vertical="center"/>
    </xf>
    <xf numFmtId="165" fontId="32" fillId="0" borderId="7" xfId="15" applyFont="1" applyBorder="1" applyAlignment="1">
      <alignment horizontal="center" vertical="center"/>
    </xf>
    <xf numFmtId="165" fontId="33" fillId="0" borderId="10" xfId="15" applyFont="1" applyBorder="1" applyAlignment="1">
      <alignment horizontal="center" vertical="center"/>
    </xf>
    <xf numFmtId="165" fontId="32" fillId="0" borderId="7" xfId="0" applyNumberFormat="1" applyFont="1" applyBorder="1" applyAlignment="1">
      <alignment horizontal="center" vertical="center"/>
    </xf>
    <xf numFmtId="0" fontId="32" fillId="0" borderId="18" xfId="0" applyFont="1" applyBorder="1" applyAlignment="1">
      <alignment horizontal="center" vertical="center"/>
    </xf>
    <xf numFmtId="165" fontId="32" fillId="0" borderId="9" xfId="0" applyNumberFormat="1" applyFont="1" applyBorder="1"/>
    <xf numFmtId="0" fontId="32" fillId="0" borderId="7" xfId="0" applyFont="1" applyBorder="1" applyAlignment="1">
      <alignment horizontal="center"/>
    </xf>
    <xf numFmtId="0" fontId="32" fillId="0" borderId="7" xfId="0" applyFont="1" applyFill="1" applyBorder="1" applyAlignment="1">
      <alignment horizontal="center"/>
    </xf>
    <xf numFmtId="165" fontId="32" fillId="0" borderId="7" xfId="15" applyFont="1" applyBorder="1" applyAlignment="1">
      <alignment horizontal="center"/>
    </xf>
    <xf numFmtId="165" fontId="33" fillId="0" borderId="9" xfId="0" applyNumberFormat="1" applyFont="1" applyBorder="1" applyAlignment="1">
      <alignment horizontal="right"/>
    </xf>
    <xf numFmtId="165" fontId="33" fillId="0" borderId="7" xfId="15" applyFont="1" applyBorder="1" applyAlignment="1">
      <alignment horizontal="center"/>
    </xf>
    <xf numFmtId="165" fontId="33" fillId="0" borderId="17" xfId="0" applyNumberFormat="1" applyFont="1" applyBorder="1" applyAlignment="1">
      <alignment horizontal="right"/>
    </xf>
    <xf numFmtId="0" fontId="32" fillId="0" borderId="18" xfId="0" applyFont="1" applyBorder="1" applyAlignment="1">
      <alignment horizontal="center"/>
    </xf>
    <xf numFmtId="0" fontId="32" fillId="0" borderId="18" xfId="0" applyFont="1" applyFill="1" applyBorder="1" applyAlignment="1">
      <alignment horizontal="center"/>
    </xf>
    <xf numFmtId="165" fontId="32" fillId="0" borderId="18" xfId="15" applyFont="1" applyBorder="1" applyAlignment="1">
      <alignment horizontal="center"/>
    </xf>
    <xf numFmtId="165" fontId="33" fillId="0" borderId="18" xfId="15" applyFont="1" applyBorder="1" applyAlignment="1">
      <alignment horizontal="center"/>
    </xf>
    <xf numFmtId="165" fontId="33" fillId="0" borderId="32" xfId="0" applyNumberFormat="1" applyFont="1" applyBorder="1" applyAlignment="1">
      <alignment horizontal="right"/>
    </xf>
    <xf numFmtId="0" fontId="32" fillId="0" borderId="30" xfId="0" applyFont="1" applyBorder="1" applyAlignment="1">
      <alignment horizontal="center"/>
    </xf>
    <xf numFmtId="0" fontId="32" fillId="0" borderId="30" xfId="0" applyFont="1" applyFill="1" applyBorder="1" applyAlignment="1">
      <alignment horizontal="center"/>
    </xf>
    <xf numFmtId="165" fontId="32" fillId="0" borderId="30" xfId="15" applyFont="1" applyBorder="1" applyAlignment="1">
      <alignment horizontal="center"/>
    </xf>
    <xf numFmtId="165" fontId="33" fillId="0" borderId="30" xfId="15" applyFont="1" applyBorder="1" applyAlignment="1">
      <alignment horizontal="center"/>
    </xf>
    <xf numFmtId="4" fontId="9" fillId="0" borderId="12" xfId="0" applyNumberFormat="1" applyFont="1" applyFill="1" applyBorder="1" applyAlignment="1">
      <alignment horizontal="right" vertical="center"/>
    </xf>
    <xf numFmtId="165" fontId="9" fillId="0" borderId="9" xfId="15" applyFont="1" applyBorder="1" applyAlignment="1">
      <alignment horizontal="center" vertical="center"/>
    </xf>
    <xf numFmtId="165" fontId="9" fillId="0" borderId="11" xfId="15" applyFont="1" applyBorder="1" applyAlignment="1">
      <alignment horizontal="center" vertical="center"/>
    </xf>
    <xf numFmtId="0" fontId="23" fillId="0" borderId="9" xfId="0" applyFont="1" applyBorder="1"/>
    <xf numFmtId="0" fontId="12" fillId="0" borderId="7" xfId="5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7" xfId="5" applyFont="1" applyBorder="1" applyAlignment="1">
      <alignment horizontal="center"/>
    </xf>
    <xf numFmtId="0" fontId="35" fillId="0" borderId="7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12" fillId="0" borderId="7" xfId="5" applyFont="1" applyBorder="1" applyAlignment="1">
      <alignment horizontal="center" vertical="center"/>
    </xf>
    <xf numFmtId="0" fontId="24" fillId="0" borderId="9" xfId="5" applyFont="1" applyBorder="1" applyAlignment="1">
      <alignment horizontal="justify" vertical="center" wrapText="1"/>
    </xf>
    <xf numFmtId="0" fontId="25" fillId="0" borderId="9" xfId="0" applyFont="1" applyBorder="1" applyAlignment="1">
      <alignment wrapText="1"/>
    </xf>
    <xf numFmtId="165" fontId="9" fillId="0" borderId="12" xfId="15" applyFont="1" applyFill="1" applyBorder="1" applyAlignment="1">
      <alignment vertical="center"/>
    </xf>
    <xf numFmtId="176" fontId="25" fillId="0" borderId="7" xfId="0" applyNumberFormat="1" applyFont="1" applyBorder="1" applyAlignment="1">
      <alignment horizontal="center" vertical="center" wrapText="1"/>
    </xf>
    <xf numFmtId="0" fontId="23" fillId="0" borderId="7" xfId="5" applyFont="1" applyBorder="1" applyAlignment="1">
      <alignment horizontal="center"/>
    </xf>
    <xf numFmtId="0" fontId="5" fillId="0" borderId="7" xfId="5" applyBorder="1" applyAlignment="1">
      <alignment wrapText="1"/>
    </xf>
    <xf numFmtId="165" fontId="7" fillId="0" borderId="36" xfId="17" applyFont="1" applyFill="1" applyBorder="1" applyAlignment="1">
      <alignment horizontal="center"/>
    </xf>
    <xf numFmtId="165" fontId="7" fillId="0" borderId="22" xfId="17" applyFont="1" applyBorder="1" applyAlignment="1">
      <alignment horizontal="center" vertical="center"/>
    </xf>
    <xf numFmtId="165" fontId="12" fillId="0" borderId="60" xfId="17" applyFont="1" applyFill="1" applyBorder="1" applyAlignment="1">
      <alignment horizontal="center"/>
    </xf>
    <xf numFmtId="0" fontId="5" fillId="0" borderId="36" xfId="5" applyBorder="1" applyAlignment="1">
      <alignment wrapText="1"/>
    </xf>
    <xf numFmtId="0" fontId="12" fillId="0" borderId="16" xfId="5" applyFont="1" applyBorder="1" applyAlignment="1">
      <alignment horizontal="center"/>
    </xf>
    <xf numFmtId="0" fontId="23" fillId="0" borderId="7" xfId="5" applyFont="1" applyBorder="1" applyAlignment="1">
      <alignment horizontal="center" vertical="center"/>
    </xf>
    <xf numFmtId="165" fontId="7" fillId="0" borderId="36" xfId="17" applyFont="1" applyBorder="1" applyAlignment="1">
      <alignment horizontal="center" vertical="center"/>
    </xf>
    <xf numFmtId="0" fontId="36" fillId="0" borderId="52" xfId="0" applyFont="1" applyBorder="1" applyAlignment="1">
      <alignment wrapText="1"/>
    </xf>
    <xf numFmtId="0" fontId="23" fillId="0" borderId="9" xfId="5" applyFont="1" applyBorder="1"/>
    <xf numFmtId="0" fontId="24" fillId="0" borderId="9" xfId="5" applyFont="1" applyBorder="1"/>
    <xf numFmtId="165" fontId="7" fillId="0" borderId="36" xfId="0" applyNumberFormat="1" applyFont="1" applyBorder="1" applyAlignment="1">
      <alignment horizontal="center"/>
    </xf>
    <xf numFmtId="165" fontId="23" fillId="0" borderId="22" xfId="0" applyNumberFormat="1" applyFont="1" applyBorder="1" applyAlignment="1">
      <alignment horizontal="center"/>
    </xf>
    <xf numFmtId="165" fontId="24" fillId="0" borderId="60" xfId="0" applyNumberFormat="1" applyFont="1" applyBorder="1" applyAlignment="1">
      <alignment horizontal="center"/>
    </xf>
    <xf numFmtId="165" fontId="7" fillId="0" borderId="36" xfId="15" applyFont="1" applyFill="1" applyBorder="1" applyAlignment="1">
      <alignment horizontal="center"/>
    </xf>
    <xf numFmtId="165" fontId="7" fillId="0" borderId="22" xfId="15" applyFont="1" applyFill="1" applyBorder="1" applyAlignment="1">
      <alignment horizontal="center"/>
    </xf>
    <xf numFmtId="165" fontId="12" fillId="0" borderId="60" xfId="15" applyFont="1" applyFill="1" applyBorder="1" applyAlignment="1">
      <alignment horizontal="center"/>
    </xf>
    <xf numFmtId="0" fontId="12" fillId="0" borderId="52" xfId="0" applyFont="1" applyFill="1" applyBorder="1" applyAlignment="1">
      <alignment horizontal="left" wrapText="1"/>
    </xf>
    <xf numFmtId="0" fontId="36" fillId="0" borderId="37" xfId="0" applyFont="1" applyBorder="1" applyAlignment="1">
      <alignment wrapText="1"/>
    </xf>
    <xf numFmtId="0" fontId="25" fillId="0" borderId="39" xfId="0" applyFont="1" applyBorder="1" applyAlignment="1">
      <alignment wrapText="1"/>
    </xf>
    <xf numFmtId="0" fontId="7" fillId="0" borderId="20" xfId="5" applyFont="1" applyBorder="1"/>
    <xf numFmtId="4" fontId="2" fillId="0" borderId="7" xfId="6" applyNumberFormat="1" applyFont="1" applyFill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textRotation="90"/>
    </xf>
    <xf numFmtId="4" fontId="5" fillId="0" borderId="0" xfId="6" applyNumberFormat="1" applyAlignment="1">
      <alignment vertical="center"/>
    </xf>
    <xf numFmtId="4" fontId="2" fillId="9" borderId="36" xfId="6" applyNumberFormat="1" applyFont="1" applyFill="1" applyBorder="1" applyAlignment="1">
      <alignment horizontal="center" vertical="center" textRotation="90"/>
    </xf>
    <xf numFmtId="0" fontId="7" fillId="0" borderId="15" xfId="6" applyFont="1" applyFill="1" applyBorder="1" applyAlignment="1">
      <alignment horizontal="justify" vertical="center" wrapText="1"/>
    </xf>
    <xf numFmtId="0" fontId="4" fillId="0" borderId="39" xfId="6" applyFont="1" applyBorder="1" applyAlignment="1">
      <alignment horizontal="center" vertical="center"/>
    </xf>
    <xf numFmtId="165" fontId="21" fillId="0" borderId="17" xfId="6" applyNumberFormat="1" applyFont="1" applyBorder="1" applyAlignment="1">
      <alignment vertical="center"/>
    </xf>
    <xf numFmtId="165" fontId="21" fillId="0" borderId="18" xfId="6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0" fillId="0" borderId="7" xfId="0" applyFont="1" applyBorder="1" applyAlignment="1">
      <alignment vertical="center"/>
    </xf>
    <xf numFmtId="0" fontId="30" fillId="0" borderId="7" xfId="0" applyFont="1" applyBorder="1" applyAlignment="1">
      <alignment horizontal="left" vertical="center"/>
    </xf>
    <xf numFmtId="43" fontId="5" fillId="0" borderId="0" xfId="6" applyNumberFormat="1" applyAlignment="1">
      <alignment horizontal="left" vertical="center"/>
    </xf>
    <xf numFmtId="9" fontId="16" fillId="0" borderId="15" xfId="6" applyNumberFormat="1" applyFont="1" applyFill="1" applyBorder="1" applyAlignment="1">
      <alignment horizontal="center" vertical="center"/>
    </xf>
    <xf numFmtId="10" fontId="2" fillId="0" borderId="15" xfId="6" applyNumberFormat="1" applyFont="1" applyFill="1" applyBorder="1" applyAlignment="1">
      <alignment horizontal="center" vertical="center" textRotation="90"/>
    </xf>
    <xf numFmtId="0" fontId="30" fillId="0" borderId="18" xfId="0" applyFont="1" applyBorder="1" applyAlignment="1">
      <alignment vertical="center"/>
    </xf>
    <xf numFmtId="9" fontId="16" fillId="0" borderId="18" xfId="6" applyNumberFormat="1" applyFont="1" applyFill="1" applyBorder="1" applyAlignment="1">
      <alignment horizontal="center" vertical="center"/>
    </xf>
    <xf numFmtId="4" fontId="2" fillId="0" borderId="18" xfId="6" applyNumberFormat="1" applyFont="1" applyFill="1" applyBorder="1" applyAlignment="1">
      <alignment horizontal="center" vertical="center" textRotation="90"/>
    </xf>
    <xf numFmtId="4" fontId="2" fillId="7" borderId="18" xfId="6" applyNumberFormat="1" applyFont="1" applyFill="1" applyBorder="1" applyAlignment="1">
      <alignment horizontal="center" vertical="center" textRotation="90"/>
    </xf>
    <xf numFmtId="0" fontId="10" fillId="0" borderId="31" xfId="6" applyFont="1" applyFill="1" applyBorder="1" applyAlignment="1">
      <alignment horizontal="center" vertical="center"/>
    </xf>
    <xf numFmtId="0" fontId="7" fillId="0" borderId="34" xfId="6" applyFont="1" applyFill="1" applyBorder="1" applyAlignment="1">
      <alignment horizontal="justify" vertical="center" wrapText="1"/>
    </xf>
    <xf numFmtId="9" fontId="16" fillId="0" borderId="34" xfId="6" applyNumberFormat="1" applyFont="1" applyFill="1" applyBorder="1" applyAlignment="1">
      <alignment horizontal="center" vertical="center"/>
    </xf>
    <xf numFmtId="4" fontId="2" fillId="0" borderId="34" xfId="6" applyNumberFormat="1" applyFont="1" applyFill="1" applyBorder="1" applyAlignment="1">
      <alignment horizontal="center" vertical="center" textRotation="90"/>
    </xf>
    <xf numFmtId="9" fontId="31" fillId="0" borderId="34" xfId="6" applyNumberFormat="1" applyFont="1" applyFill="1" applyBorder="1" applyAlignment="1">
      <alignment horizontal="center" vertical="center" textRotation="90"/>
    </xf>
    <xf numFmtId="10" fontId="4" fillId="0" borderId="29" xfId="6" applyNumberFormat="1" applyFont="1" applyFill="1" applyBorder="1" applyAlignment="1">
      <alignment horizontal="center" vertical="center"/>
    </xf>
    <xf numFmtId="0" fontId="4" fillId="0" borderId="7" xfId="6" applyFont="1" applyBorder="1" applyAlignment="1">
      <alignment vertical="center"/>
    </xf>
    <xf numFmtId="0" fontId="4" fillId="0" borderId="36" xfId="6" applyFont="1" applyBorder="1" applyAlignment="1">
      <alignment vertical="center"/>
    </xf>
    <xf numFmtId="0" fontId="4" fillId="0" borderId="36" xfId="6" applyFont="1" applyBorder="1" applyAlignment="1">
      <alignment horizontal="center" vertical="center"/>
    </xf>
    <xf numFmtId="0" fontId="37" fillId="11" borderId="64" xfId="0" applyFont="1" applyFill="1" applyBorder="1" applyAlignment="1">
      <alignment horizontal="center" vertical="center"/>
    </xf>
    <xf numFmtId="0" fontId="1" fillId="0" borderId="65" xfId="0" applyFont="1" applyBorder="1" applyAlignment="1">
      <alignment horizontal="center" vertical="center"/>
    </xf>
    <xf numFmtId="0" fontId="1" fillId="0" borderId="65" xfId="0" applyFont="1" applyBorder="1"/>
    <xf numFmtId="0" fontId="0" fillId="0" borderId="65" xfId="0" applyBorder="1"/>
    <xf numFmtId="0" fontId="0" fillId="0" borderId="65" xfId="0" applyBorder="1" applyAlignment="1">
      <alignment horizontal="center" vertical="center"/>
    </xf>
    <xf numFmtId="0" fontId="38" fillId="11" borderId="64" xfId="0" applyFont="1" applyFill="1" applyBorder="1" applyAlignment="1">
      <alignment horizontal="center"/>
    </xf>
    <xf numFmtId="4" fontId="0" fillId="0" borderId="65" xfId="0" applyNumberFormat="1" applyBorder="1"/>
    <xf numFmtId="0" fontId="28" fillId="0" borderId="7" xfId="0" applyFont="1" applyBorder="1" applyAlignment="1">
      <alignment horizontal="center"/>
    </xf>
    <xf numFmtId="1" fontId="28" fillId="0" borderId="7" xfId="0" applyNumberFormat="1" applyFont="1" applyBorder="1" applyAlignment="1">
      <alignment horizontal="center"/>
    </xf>
    <xf numFmtId="165" fontId="28" fillId="0" borderId="7" xfId="17" applyFont="1" applyBorder="1" applyAlignment="1">
      <alignment horizontal="center"/>
    </xf>
    <xf numFmtId="165" fontId="29" fillId="0" borderId="10" xfId="17" applyFont="1" applyBorder="1" applyAlignment="1">
      <alignment horizontal="center"/>
    </xf>
    <xf numFmtId="10" fontId="28" fillId="0" borderId="7" xfId="0" applyNumberFormat="1" applyFont="1" applyBorder="1" applyAlignment="1">
      <alignment horizontal="center"/>
    </xf>
    <xf numFmtId="0" fontId="28" fillId="0" borderId="7" xfId="0" applyFont="1" applyBorder="1"/>
    <xf numFmtId="165" fontId="28" fillId="0" borderId="7" xfId="15" applyFont="1" applyBorder="1" applyAlignment="1">
      <alignment horizontal="center"/>
    </xf>
    <xf numFmtId="0" fontId="29" fillId="0" borderId="7" xfId="0" applyFont="1" applyBorder="1" applyAlignment="1">
      <alignment horizontal="center"/>
    </xf>
    <xf numFmtId="0" fontId="28" fillId="0" borderId="10" xfId="0" applyFont="1" applyBorder="1"/>
    <xf numFmtId="0" fontId="28" fillId="0" borderId="15" xfId="5" applyFont="1" applyBorder="1"/>
    <xf numFmtId="0" fontId="28" fillId="0" borderId="15" xfId="5" applyFont="1" applyBorder="1" applyAlignment="1">
      <alignment horizontal="center"/>
    </xf>
    <xf numFmtId="0" fontId="28" fillId="0" borderId="7" xfId="5" applyFont="1" applyBorder="1"/>
    <xf numFmtId="0" fontId="28" fillId="0" borderId="7" xfId="5" applyFont="1" applyBorder="1" applyAlignment="1">
      <alignment horizontal="center"/>
    </xf>
    <xf numFmtId="165" fontId="28" fillId="0" borderId="36" xfId="17" applyFont="1" applyBorder="1" applyAlignment="1">
      <alignment horizontal="center"/>
    </xf>
    <xf numFmtId="1" fontId="28" fillId="0" borderId="7" xfId="5" applyNumberFormat="1" applyFont="1" applyBorder="1" applyAlignment="1">
      <alignment horizontal="center"/>
    </xf>
    <xf numFmtId="0" fontId="26" fillId="0" borderId="7" xfId="5" applyFont="1" applyBorder="1" applyAlignment="1"/>
    <xf numFmtId="0" fontId="12" fillId="0" borderId="7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7" fillId="0" borderId="7" xfId="0" applyFont="1" applyBorder="1" applyAlignment="1">
      <alignment wrapText="1"/>
    </xf>
    <xf numFmtId="0" fontId="12" fillId="0" borderId="7" xfId="5" applyFont="1" applyBorder="1" applyAlignment="1">
      <alignment horizontal="center"/>
    </xf>
    <xf numFmtId="0" fontId="7" fillId="0" borderId="7" xfId="5" applyFont="1" applyBorder="1" applyAlignment="1">
      <alignment horizontal="center"/>
    </xf>
    <xf numFmtId="4" fontId="7" fillId="0" borderId="7" xfId="5" applyNumberFormat="1" applyFont="1" applyFill="1" applyBorder="1" applyAlignment="1">
      <alignment horizontal="center"/>
    </xf>
    <xf numFmtId="0" fontId="28" fillId="0" borderId="7" xfId="5" applyFont="1" applyFill="1" applyBorder="1" applyAlignment="1"/>
    <xf numFmtId="0" fontId="26" fillId="0" borderId="36" xfId="5" applyFont="1" applyBorder="1" applyAlignment="1"/>
    <xf numFmtId="165" fontId="39" fillId="0" borderId="60" xfId="5" applyNumberFormat="1" applyFont="1" applyBorder="1" applyAlignment="1"/>
    <xf numFmtId="0" fontId="24" fillId="0" borderId="9" xfId="0" applyFont="1" applyFill="1" applyBorder="1" applyAlignment="1">
      <alignment horizontal="right"/>
    </xf>
    <xf numFmtId="165" fontId="24" fillId="0" borderId="10" xfId="17" applyFont="1" applyBorder="1" applyAlignment="1">
      <alignment horizontal="center"/>
    </xf>
    <xf numFmtId="165" fontId="23" fillId="0" borderId="10" xfId="17" applyFont="1" applyBorder="1" applyAlignment="1">
      <alignment horizontal="center"/>
    </xf>
    <xf numFmtId="165" fontId="12" fillId="0" borderId="19" xfId="17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165" fontId="12" fillId="0" borderId="20" xfId="0" applyNumberFormat="1" applyFont="1" applyBorder="1" applyAlignment="1"/>
    <xf numFmtId="165" fontId="7" fillId="0" borderId="7" xfId="15" applyFont="1" applyBorder="1" applyAlignment="1">
      <alignment horizontal="center"/>
    </xf>
    <xf numFmtId="165" fontId="7" fillId="0" borderId="7" xfId="15" applyFont="1" applyFill="1" applyBorder="1" applyAlignment="1">
      <alignment horizontal="center"/>
    </xf>
    <xf numFmtId="165" fontId="12" fillId="0" borderId="10" xfId="15" applyFont="1" applyBorder="1" applyAlignment="1">
      <alignment horizontal="center"/>
    </xf>
    <xf numFmtId="165" fontId="7" fillId="0" borderId="10" xfId="15" applyFont="1" applyBorder="1" applyAlignment="1">
      <alignment horizontal="center"/>
    </xf>
    <xf numFmtId="0" fontId="12" fillId="0" borderId="9" xfId="32" applyFont="1" applyFill="1" applyBorder="1"/>
    <xf numFmtId="9" fontId="7" fillId="0" borderId="7" xfId="32" applyNumberFormat="1" applyFont="1" applyBorder="1" applyAlignment="1">
      <alignment horizontal="center"/>
    </xf>
    <xf numFmtId="10" fontId="7" fillId="0" borderId="7" xfId="32" applyNumberFormat="1" applyFont="1" applyBorder="1"/>
    <xf numFmtId="0" fontId="7" fillId="0" borderId="7" xfId="32" applyFont="1" applyBorder="1"/>
    <xf numFmtId="0" fontId="23" fillId="0" borderId="9" xfId="32" applyFont="1" applyFill="1" applyBorder="1"/>
    <xf numFmtId="0" fontId="7" fillId="0" borderId="7" xfId="32" applyFont="1" applyBorder="1" applyAlignment="1">
      <alignment horizontal="center"/>
    </xf>
    <xf numFmtId="165" fontId="23" fillId="0" borderId="22" xfId="15" applyFont="1" applyBorder="1" applyAlignment="1">
      <alignment horizontal="center"/>
    </xf>
    <xf numFmtId="0" fontId="24" fillId="0" borderId="9" xfId="0" applyFont="1" applyFill="1" applyBorder="1" applyAlignment="1">
      <alignment horizontal="right" vertical="center"/>
    </xf>
    <xf numFmtId="0" fontId="7" fillId="0" borderId="36" xfId="0" applyFont="1" applyBorder="1"/>
    <xf numFmtId="165" fontId="12" fillId="0" borderId="60" xfId="0" applyNumberFormat="1" applyFont="1" applyBorder="1"/>
    <xf numFmtId="10" fontId="7" fillId="0" borderId="36" xfId="15" applyNumberFormat="1" applyFont="1" applyBorder="1" applyAlignment="1">
      <alignment horizontal="center"/>
    </xf>
    <xf numFmtId="165" fontId="12" fillId="0" borderId="60" xfId="15" applyFont="1" applyBorder="1" applyAlignment="1">
      <alignment horizontal="center"/>
    </xf>
    <xf numFmtId="165" fontId="3" fillId="0" borderId="60" xfId="5" applyNumberFormat="1" applyFont="1" applyBorder="1" applyAlignment="1">
      <alignment wrapText="1"/>
    </xf>
    <xf numFmtId="165" fontId="12" fillId="0" borderId="60" xfId="17" applyFont="1" applyBorder="1" applyAlignment="1">
      <alignment horizontal="center"/>
    </xf>
    <xf numFmtId="165" fontId="7" fillId="0" borderId="59" xfId="17" applyFont="1" applyBorder="1" applyAlignment="1">
      <alignment horizontal="center"/>
    </xf>
    <xf numFmtId="10" fontId="7" fillId="0" borderId="7" xfId="5" applyNumberFormat="1" applyFont="1" applyBorder="1" applyAlignment="1">
      <alignment horizontal="center"/>
    </xf>
    <xf numFmtId="165" fontId="7" fillId="0" borderId="36" xfId="17" applyFont="1" applyBorder="1" applyAlignment="1">
      <alignment horizontal="center"/>
    </xf>
    <xf numFmtId="0" fontId="1" fillId="0" borderId="9" xfId="0" applyFont="1" applyBorder="1" applyAlignment="1">
      <alignment wrapText="1"/>
    </xf>
    <xf numFmtId="0" fontId="1" fillId="0" borderId="7" xfId="0" applyFont="1" applyBorder="1" applyAlignment="1">
      <alignment horizontal="center" vertical="center" wrapText="1"/>
    </xf>
    <xf numFmtId="177" fontId="1" fillId="0" borderId="7" xfId="0" applyNumberFormat="1" applyFont="1" applyBorder="1" applyAlignment="1">
      <alignment horizontal="center" wrapText="1"/>
    </xf>
    <xf numFmtId="177" fontId="1" fillId="0" borderId="10" xfId="0" applyNumberFormat="1" applyFont="1" applyBorder="1" applyAlignment="1">
      <alignment horizontal="center" wrapText="1"/>
    </xf>
    <xf numFmtId="177" fontId="1" fillId="0" borderId="36" xfId="0" applyNumberFormat="1" applyFont="1" applyBorder="1" applyAlignment="1">
      <alignment horizontal="center" wrapText="1"/>
    </xf>
    <xf numFmtId="0" fontId="1" fillId="0" borderId="9" xfId="0" applyFont="1" applyBorder="1" applyAlignment="1">
      <alignment vertical="center" wrapText="1"/>
    </xf>
    <xf numFmtId="1" fontId="7" fillId="0" borderId="7" xfId="5" applyNumberFormat="1" applyFont="1" applyBorder="1" applyAlignment="1">
      <alignment horizontal="center"/>
    </xf>
    <xf numFmtId="165" fontId="12" fillId="0" borderId="10" xfId="5" applyNumberFormat="1" applyFont="1" applyBorder="1" applyAlignment="1">
      <alignment vertical="center"/>
    </xf>
    <xf numFmtId="0" fontId="1" fillId="0" borderId="7" xfId="0" applyFont="1" applyFill="1" applyBorder="1" applyAlignment="1">
      <alignment horizontal="center" wrapText="1"/>
    </xf>
    <xf numFmtId="165" fontId="23" fillId="0" borderId="22" xfId="17" applyFont="1" applyBorder="1" applyAlignment="1">
      <alignment horizontal="center"/>
    </xf>
    <xf numFmtId="0" fontId="7" fillId="0" borderId="9" xfId="5" applyFont="1" applyBorder="1"/>
    <xf numFmtId="0" fontId="7" fillId="0" borderId="37" xfId="5" applyFont="1" applyBorder="1"/>
    <xf numFmtId="0" fontId="7" fillId="0" borderId="37" xfId="5" applyFont="1" applyBorder="1" applyAlignment="1">
      <alignment horizontal="center"/>
    </xf>
    <xf numFmtId="1" fontId="7" fillId="0" borderId="37" xfId="5" applyNumberFormat="1" applyFont="1" applyBorder="1" applyAlignment="1">
      <alignment horizontal="center"/>
    </xf>
    <xf numFmtId="165" fontId="7" fillId="0" borderId="37" xfId="17" applyFont="1" applyBorder="1" applyAlignment="1">
      <alignment horizontal="center"/>
    </xf>
    <xf numFmtId="43" fontId="24" fillId="0" borderId="73" xfId="5" applyNumberFormat="1" applyFont="1" applyBorder="1"/>
    <xf numFmtId="0" fontId="7" fillId="0" borderId="0" xfId="5" applyFont="1" applyBorder="1"/>
    <xf numFmtId="165" fontId="7" fillId="0" borderId="33" xfId="17" applyFont="1" applyBorder="1" applyAlignment="1">
      <alignment horizontal="center"/>
    </xf>
    <xf numFmtId="2" fontId="1" fillId="0" borderId="7" xfId="0" applyNumberFormat="1" applyFont="1" applyBorder="1" applyAlignment="1">
      <alignment horizontal="center" wrapText="1"/>
    </xf>
    <xf numFmtId="2" fontId="1" fillId="0" borderId="36" xfId="0" applyNumberFormat="1" applyFont="1" applyBorder="1" applyAlignment="1">
      <alignment horizontal="center" wrapText="1"/>
    </xf>
    <xf numFmtId="177" fontId="3" fillId="0" borderId="60" xfId="0" applyNumberFormat="1" applyFont="1" applyBorder="1" applyAlignment="1">
      <alignment horizontal="center" wrapText="1"/>
    </xf>
    <xf numFmtId="0" fontId="12" fillId="0" borderId="33" xfId="5" applyFont="1" applyBorder="1" applyAlignment="1">
      <alignment horizontal="center"/>
    </xf>
    <xf numFmtId="165" fontId="7" fillId="0" borderId="60" xfId="17" applyFont="1" applyBorder="1" applyAlignment="1">
      <alignment horizontal="center"/>
    </xf>
    <xf numFmtId="165" fontId="12" fillId="0" borderId="16" xfId="5" applyNumberFormat="1" applyFont="1" applyBorder="1" applyAlignment="1">
      <alignment vertical="center"/>
    </xf>
    <xf numFmtId="165" fontId="24" fillId="0" borderId="60" xfId="17" applyFont="1" applyBorder="1" applyAlignment="1">
      <alignment horizontal="center"/>
    </xf>
    <xf numFmtId="165" fontId="7" fillId="0" borderId="22" xfId="17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1" fillId="0" borderId="7" xfId="0" applyFont="1" applyBorder="1" applyAlignment="1">
      <alignment wrapText="1"/>
    </xf>
    <xf numFmtId="0" fontId="1" fillId="0" borderId="36" xfId="0" applyFont="1" applyBorder="1" applyAlignment="1">
      <alignment wrapText="1"/>
    </xf>
    <xf numFmtId="165" fontId="3" fillId="0" borderId="60" xfId="0" applyNumberFormat="1" applyFont="1" applyBorder="1" applyAlignment="1">
      <alignment wrapText="1"/>
    </xf>
    <xf numFmtId="165" fontId="3" fillId="0" borderId="20" xfId="0" applyNumberFormat="1" applyFont="1" applyBorder="1" applyAlignment="1">
      <alignment wrapText="1"/>
    </xf>
    <xf numFmtId="0" fontId="1" fillId="0" borderId="39" xfId="0" applyFont="1" applyBorder="1" applyAlignment="1">
      <alignment wrapText="1"/>
    </xf>
    <xf numFmtId="0" fontId="12" fillId="0" borderId="39" xfId="5" applyFont="1" applyBorder="1"/>
    <xf numFmtId="0" fontId="7" fillId="0" borderId="39" xfId="5" applyFont="1" applyBorder="1"/>
    <xf numFmtId="0" fontId="1" fillId="0" borderId="7" xfId="5" applyFont="1" applyBorder="1" applyAlignment="1"/>
    <xf numFmtId="0" fontId="1" fillId="0" borderId="36" xfId="5" applyFont="1" applyBorder="1" applyAlignment="1"/>
    <xf numFmtId="165" fontId="3" fillId="0" borderId="60" xfId="5" applyNumberFormat="1" applyFont="1" applyBorder="1" applyAlignment="1"/>
    <xf numFmtId="177" fontId="1" fillId="0" borderId="16" xfId="0" applyNumberFormat="1" applyFont="1" applyBorder="1" applyAlignment="1">
      <alignment horizontal="center" wrapText="1"/>
    </xf>
    <xf numFmtId="0" fontId="12" fillId="0" borderId="8" xfId="5" applyFont="1" applyBorder="1" applyAlignment="1">
      <alignment horizontal="center"/>
    </xf>
    <xf numFmtId="165" fontId="23" fillId="0" borderId="13" xfId="17" applyFont="1" applyBorder="1" applyAlignment="1">
      <alignment horizontal="center"/>
    </xf>
    <xf numFmtId="0" fontId="24" fillId="0" borderId="39" xfId="0" applyFont="1" applyFill="1" applyBorder="1" applyAlignment="1">
      <alignment horizontal="right" vertical="center"/>
    </xf>
    <xf numFmtId="165" fontId="12" fillId="0" borderId="20" xfId="17" applyFont="1" applyFill="1" applyBorder="1" applyAlignment="1">
      <alignment horizontal="center"/>
    </xf>
    <xf numFmtId="165" fontId="12" fillId="0" borderId="7" xfId="17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37" xfId="0" applyFont="1" applyFill="1" applyBorder="1" applyAlignment="1">
      <alignment horizontal="center"/>
    </xf>
    <xf numFmtId="0" fontId="12" fillId="0" borderId="52" xfId="0" applyFont="1" applyFill="1" applyBorder="1" applyAlignment="1">
      <alignment horizontal="right" wrapText="1"/>
    </xf>
    <xf numFmtId="0" fontId="12" fillId="0" borderId="9" xfId="0" applyFont="1" applyFill="1" applyBorder="1" applyAlignment="1">
      <alignment horizontal="right" wrapText="1"/>
    </xf>
    <xf numFmtId="0" fontId="7" fillId="0" borderId="7" xfId="0" applyFont="1" applyFill="1" applyBorder="1" applyAlignment="1">
      <alignment horizontal="center"/>
    </xf>
    <xf numFmtId="0" fontId="12" fillId="0" borderId="7" xfId="0" applyFont="1" applyBorder="1" applyAlignment="1">
      <alignment horizontal="center" vertical="center" wrapText="1"/>
    </xf>
    <xf numFmtId="0" fontId="3" fillId="0" borderId="21" xfId="0" applyFont="1" applyFill="1" applyBorder="1"/>
    <xf numFmtId="0" fontId="7" fillId="0" borderId="1" xfId="0" applyFont="1" applyBorder="1" applyAlignment="1">
      <alignment horizontal="center"/>
    </xf>
    <xf numFmtId="9" fontId="7" fillId="0" borderId="1" xfId="0" applyNumberFormat="1" applyFont="1" applyBorder="1" applyAlignment="1">
      <alignment horizontal="center"/>
    </xf>
    <xf numFmtId="165" fontId="7" fillId="0" borderId="2" xfId="15" applyFont="1" applyBorder="1"/>
    <xf numFmtId="172" fontId="3" fillId="0" borderId="22" xfId="0" applyNumberFormat="1" applyFont="1" applyBorder="1" applyAlignment="1">
      <alignment vertical="center" wrapText="1"/>
    </xf>
    <xf numFmtId="165" fontId="7" fillId="0" borderId="36" xfId="0" applyNumberFormat="1" applyFont="1" applyBorder="1"/>
    <xf numFmtId="165" fontId="12" fillId="0" borderId="55" xfId="15" applyFont="1" applyFill="1" applyBorder="1" applyAlignment="1">
      <alignment vertical="center"/>
    </xf>
    <xf numFmtId="165" fontId="12" fillId="0" borderId="60" xfId="15" applyFont="1" applyFill="1" applyBorder="1"/>
    <xf numFmtId="165" fontId="12" fillId="0" borderId="60" xfId="15" applyFont="1" applyFill="1" applyBorder="1" applyAlignment="1">
      <alignment vertical="center"/>
    </xf>
    <xf numFmtId="0" fontId="35" fillId="10" borderId="36" xfId="0" applyFont="1" applyFill="1" applyBorder="1" applyAlignment="1">
      <alignment horizontal="center" vertical="center" wrapText="1"/>
    </xf>
    <xf numFmtId="0" fontId="35" fillId="10" borderId="39" xfId="0" applyFont="1" applyFill="1" applyBorder="1" applyAlignment="1">
      <alignment horizontal="center" vertical="center" wrapText="1"/>
    </xf>
    <xf numFmtId="165" fontId="7" fillId="0" borderId="40" xfId="15" applyFont="1" applyBorder="1" applyAlignment="1">
      <alignment vertical="center" wrapText="1"/>
    </xf>
    <xf numFmtId="0" fontId="0" fillId="0" borderId="41" xfId="0" applyBorder="1" applyAlignment="1">
      <alignment vertical="center" wrapText="1"/>
    </xf>
    <xf numFmtId="0" fontId="0" fillId="0" borderId="42" xfId="0" applyBorder="1" applyAlignment="1">
      <alignment vertical="center" wrapText="1"/>
    </xf>
    <xf numFmtId="165" fontId="7" fillId="0" borderId="36" xfId="15" applyFont="1" applyBorder="1" applyAlignment="1">
      <alignment horizontal="left" vertical="center" wrapText="1"/>
    </xf>
    <xf numFmtId="165" fontId="7" fillId="0" borderId="37" xfId="15" applyFont="1" applyBorder="1" applyAlignment="1">
      <alignment horizontal="left" vertical="center" wrapText="1"/>
    </xf>
    <xf numFmtId="0" fontId="0" fillId="0" borderId="38" xfId="0" applyBorder="1" applyAlignment="1">
      <alignment vertical="center" wrapText="1"/>
    </xf>
    <xf numFmtId="165" fontId="9" fillId="0" borderId="7" xfId="15" applyFont="1" applyBorder="1" applyAlignment="1">
      <alignment horizontal="left" vertical="center"/>
    </xf>
    <xf numFmtId="165" fontId="9" fillId="0" borderId="10" xfId="15" applyFont="1" applyBorder="1" applyAlignment="1">
      <alignment horizontal="left" vertical="center"/>
    </xf>
    <xf numFmtId="165" fontId="7" fillId="0" borderId="7" xfId="15" applyFont="1" applyBorder="1" applyAlignment="1">
      <alignment horizontal="left" vertical="center"/>
    </xf>
    <xf numFmtId="165" fontId="7" fillId="0" borderId="12" xfId="15" applyFont="1" applyBorder="1" applyAlignment="1">
      <alignment horizontal="left" vertical="center"/>
    </xf>
    <xf numFmtId="165" fontId="7" fillId="0" borderId="36" xfId="15" applyFont="1" applyBorder="1" applyAlignment="1">
      <alignment horizontal="right" vertical="center"/>
    </xf>
    <xf numFmtId="165" fontId="7" fillId="0" borderId="39" xfId="15" applyFont="1" applyBorder="1" applyAlignment="1">
      <alignment horizontal="right" vertical="center"/>
    </xf>
    <xf numFmtId="165" fontId="7" fillId="0" borderId="40" xfId="15" applyFont="1" applyBorder="1" applyAlignment="1">
      <alignment horizontal="right" vertical="center"/>
    </xf>
    <xf numFmtId="165" fontId="7" fillId="0" borderId="28" xfId="15" applyFont="1" applyBorder="1" applyAlignment="1">
      <alignment horizontal="right" vertical="center"/>
    </xf>
    <xf numFmtId="165" fontId="12" fillId="2" borderId="36" xfId="15" applyFont="1" applyFill="1" applyBorder="1" applyAlignment="1">
      <alignment horizontal="center" vertical="center"/>
    </xf>
    <xf numFmtId="165" fontId="12" fillId="2" borderId="37" xfId="15" applyFont="1" applyFill="1" applyBorder="1" applyAlignment="1">
      <alignment horizontal="center" vertical="center"/>
    </xf>
    <xf numFmtId="165" fontId="12" fillId="2" borderId="39" xfId="15" applyFont="1" applyFill="1" applyBorder="1" applyAlignment="1">
      <alignment horizontal="center" vertical="center"/>
    </xf>
    <xf numFmtId="165" fontId="12" fillId="2" borderId="5" xfId="15" applyFont="1" applyFill="1" applyBorder="1" applyAlignment="1">
      <alignment horizontal="center" vertical="center"/>
    </xf>
    <xf numFmtId="165" fontId="12" fillId="2" borderId="6" xfId="15" applyFont="1" applyFill="1" applyBorder="1" applyAlignment="1">
      <alignment horizontal="center" vertical="center"/>
    </xf>
    <xf numFmtId="165" fontId="12" fillId="2" borderId="8" xfId="15" applyFont="1" applyFill="1" applyBorder="1" applyAlignment="1">
      <alignment horizontal="center" vertical="center"/>
    </xf>
    <xf numFmtId="165" fontId="12" fillId="2" borderId="9" xfId="15" applyFont="1" applyFill="1" applyBorder="1" applyAlignment="1">
      <alignment horizontal="center" vertical="center"/>
    </xf>
    <xf numFmtId="165" fontId="12" fillId="2" borderId="7" xfId="15" applyFont="1" applyFill="1" applyBorder="1" applyAlignment="1">
      <alignment horizontal="center" vertical="center"/>
    </xf>
    <xf numFmtId="165" fontId="11" fillId="2" borderId="7" xfId="15" applyFont="1" applyFill="1" applyBorder="1" applyAlignment="1">
      <alignment horizontal="center" vertical="center"/>
    </xf>
    <xf numFmtId="165" fontId="10" fillId="2" borderId="43" xfId="15" applyFont="1" applyFill="1" applyBorder="1" applyAlignment="1">
      <alignment horizontal="center" vertical="center"/>
    </xf>
    <xf numFmtId="165" fontId="10" fillId="2" borderId="44" xfId="15" applyFont="1" applyFill="1" applyBorder="1" applyAlignment="1">
      <alignment horizontal="center" vertical="center"/>
    </xf>
    <xf numFmtId="165" fontId="10" fillId="2" borderId="31" xfId="15" applyFont="1" applyFill="1" applyBorder="1" applyAlignment="1">
      <alignment horizontal="center" vertical="center"/>
    </xf>
    <xf numFmtId="165" fontId="10" fillId="2" borderId="34" xfId="15" applyFont="1" applyFill="1" applyBorder="1" applyAlignment="1">
      <alignment horizontal="center" vertical="center"/>
    </xf>
    <xf numFmtId="165" fontId="10" fillId="2" borderId="29" xfId="15" applyFont="1" applyFill="1" applyBorder="1" applyAlignment="1">
      <alignment horizontal="center" vertical="center"/>
    </xf>
    <xf numFmtId="165" fontId="10" fillId="2" borderId="48" xfId="15" applyFont="1" applyFill="1" applyBorder="1" applyAlignment="1">
      <alignment horizontal="center" vertical="center"/>
    </xf>
    <xf numFmtId="165" fontId="10" fillId="2" borderId="49" xfId="15" applyFont="1" applyFill="1" applyBorder="1" applyAlignment="1">
      <alignment horizontal="center" vertical="center"/>
    </xf>
    <xf numFmtId="165" fontId="10" fillId="2" borderId="50" xfId="15" applyFont="1" applyFill="1" applyBorder="1" applyAlignment="1">
      <alignment horizontal="center" vertical="center"/>
    </xf>
    <xf numFmtId="165" fontId="21" fillId="0" borderId="0" xfId="15" applyFont="1" applyBorder="1" applyAlignment="1">
      <alignment horizontal="center" vertical="center" wrapText="1"/>
    </xf>
    <xf numFmtId="165" fontId="21" fillId="0" borderId="20" xfId="15" applyFont="1" applyBorder="1" applyAlignment="1">
      <alignment horizontal="center" vertical="center" wrapText="1"/>
    </xf>
    <xf numFmtId="165" fontId="21" fillId="0" borderId="0" xfId="15" applyFont="1" applyBorder="1" applyAlignment="1">
      <alignment horizontal="justify" vertical="center" wrapText="1"/>
    </xf>
    <xf numFmtId="165" fontId="21" fillId="0" borderId="20" xfId="15" applyFont="1" applyBorder="1" applyAlignment="1">
      <alignment horizontal="justify" vertical="center" wrapText="1"/>
    </xf>
    <xf numFmtId="165" fontId="10" fillId="0" borderId="47" xfId="15" applyFont="1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165" fontId="8" fillId="0" borderId="0" xfId="15" applyFont="1" applyAlignment="1">
      <alignment horizontal="center" vertical="center"/>
    </xf>
    <xf numFmtId="0" fontId="7" fillId="0" borderId="0" xfId="0" applyFont="1" applyAlignment="1">
      <alignment vertical="center"/>
    </xf>
    <xf numFmtId="165" fontId="10" fillId="2" borderId="45" xfId="15" applyFont="1" applyFill="1" applyBorder="1" applyAlignment="1">
      <alignment horizontal="center" vertical="center"/>
    </xf>
    <xf numFmtId="165" fontId="10" fillId="2" borderId="46" xfId="15" applyFont="1" applyFill="1" applyBorder="1" applyAlignment="1">
      <alignment horizontal="center" vertical="center"/>
    </xf>
    <xf numFmtId="1" fontId="32" fillId="0" borderId="7" xfId="0" applyNumberFormat="1" applyFont="1" applyFill="1" applyBorder="1" applyAlignment="1">
      <alignment horizontal="center" vertical="center"/>
    </xf>
    <xf numFmtId="0" fontId="34" fillId="0" borderId="7" xfId="0" applyFont="1" applyBorder="1" applyAlignment="1">
      <alignment horizontal="center" vertical="center"/>
    </xf>
    <xf numFmtId="0" fontId="32" fillId="0" borderId="9" xfId="0" applyFont="1" applyBorder="1" applyAlignment="1">
      <alignment horizontal="justify" vertical="center" wrapText="1"/>
    </xf>
    <xf numFmtId="0" fontId="34" fillId="0" borderId="9" xfId="0" applyFont="1" applyBorder="1" applyAlignment="1">
      <alignment horizontal="justify" vertical="center" wrapText="1"/>
    </xf>
    <xf numFmtId="0" fontId="32" fillId="0" borderId="7" xfId="0" applyFont="1" applyFill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34" fillId="0" borderId="7" xfId="0" applyFont="1" applyFill="1" applyBorder="1" applyAlignment="1">
      <alignment horizontal="center" vertical="center"/>
    </xf>
    <xf numFmtId="0" fontId="12" fillId="0" borderId="43" xfId="0" applyFont="1" applyBorder="1" applyAlignment="1">
      <alignment horizontal="center" wrapText="1"/>
    </xf>
    <xf numFmtId="0" fontId="0" fillId="0" borderId="35" xfId="0" applyBorder="1" applyAlignment="1">
      <alignment wrapText="1"/>
    </xf>
    <xf numFmtId="0" fontId="0" fillId="0" borderId="46" xfId="0" applyBorder="1" applyAlignment="1">
      <alignment wrapText="1"/>
    </xf>
    <xf numFmtId="0" fontId="34" fillId="0" borderId="18" xfId="0" applyFont="1" applyBorder="1" applyAlignment="1">
      <alignment horizontal="center" vertical="center" wrapText="1"/>
    </xf>
    <xf numFmtId="1" fontId="32" fillId="0" borderId="7" xfId="0" applyNumberFormat="1" applyFont="1" applyBorder="1" applyAlignment="1">
      <alignment horizontal="center" vertical="center" wrapText="1"/>
    </xf>
    <xf numFmtId="0" fontId="12" fillId="0" borderId="43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12" fillId="0" borderId="7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2" fillId="0" borderId="9" xfId="0" applyFont="1" applyBorder="1" applyAlignment="1">
      <alignment horizontal="justify" vertical="center"/>
    </xf>
    <xf numFmtId="0" fontId="0" fillId="0" borderId="7" xfId="0" applyBorder="1" applyAlignment="1">
      <alignment horizontal="justify" vertical="center"/>
    </xf>
    <xf numFmtId="165" fontId="19" fillId="0" borderId="5" xfId="0" applyNumberFormat="1" applyFont="1" applyBorder="1" applyAlignment="1">
      <alignment horizontal="center" vertical="center" wrapText="1"/>
    </xf>
    <xf numFmtId="165" fontId="19" fillId="0" borderId="6" xfId="0" applyNumberFormat="1" applyFont="1" applyBorder="1" applyAlignment="1">
      <alignment horizontal="center" vertical="center" wrapText="1"/>
    </xf>
    <xf numFmtId="165" fontId="19" fillId="0" borderId="8" xfId="0" applyNumberFormat="1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171" fontId="12" fillId="0" borderId="9" xfId="0" applyNumberFormat="1" applyFont="1" applyBorder="1" applyAlignment="1">
      <alignment horizontal="left"/>
    </xf>
    <xf numFmtId="171" fontId="12" fillId="0" borderId="7" xfId="0" applyNumberFormat="1" applyFont="1" applyBorder="1" applyAlignment="1">
      <alignment horizontal="left"/>
    </xf>
    <xf numFmtId="171" fontId="12" fillId="0" borderId="10" xfId="0" applyNumberFormat="1" applyFont="1" applyBorder="1" applyAlignment="1">
      <alignment horizontal="left"/>
    </xf>
    <xf numFmtId="165" fontId="12" fillId="0" borderId="9" xfId="0" applyNumberFormat="1" applyFont="1" applyBorder="1" applyAlignment="1">
      <alignment horizontal="center"/>
    </xf>
    <xf numFmtId="165" fontId="12" fillId="0" borderId="7" xfId="0" applyNumberFormat="1" applyFont="1" applyBorder="1" applyAlignment="1">
      <alignment horizontal="center"/>
    </xf>
    <xf numFmtId="165" fontId="12" fillId="0" borderId="10" xfId="0" applyNumberFormat="1" applyFont="1" applyBorder="1" applyAlignment="1">
      <alignment horizontal="center"/>
    </xf>
    <xf numFmtId="0" fontId="12" fillId="0" borderId="52" xfId="0" applyFont="1" applyBorder="1" applyAlignment="1">
      <alignment horizontal="justify" vertical="center" wrapText="1"/>
    </xf>
    <xf numFmtId="0" fontId="0" fillId="0" borderId="37" xfId="0" applyBorder="1" applyAlignment="1">
      <alignment horizontal="justify" vertical="center" wrapText="1"/>
    </xf>
    <xf numFmtId="0" fontId="0" fillId="0" borderId="38" xfId="0" applyBorder="1" applyAlignment="1">
      <alignment wrapText="1"/>
    </xf>
    <xf numFmtId="0" fontId="19" fillId="4" borderId="5" xfId="0" applyFont="1" applyFill="1" applyBorder="1" applyAlignment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56" xfId="0" applyBorder="1" applyAlignment="1">
      <alignment wrapText="1"/>
    </xf>
    <xf numFmtId="0" fontId="0" fillId="0" borderId="8" xfId="0" applyBorder="1" applyAlignment="1">
      <alignment wrapText="1"/>
    </xf>
    <xf numFmtId="0" fontId="19" fillId="6" borderId="9" xfId="6" applyFont="1" applyFill="1" applyBorder="1" applyAlignment="1">
      <alignment horizontal="center" vertical="center" wrapText="1"/>
    </xf>
    <xf numFmtId="0" fontId="19" fillId="6" borderId="7" xfId="6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9" fillId="0" borderId="7" xfId="6" applyFont="1" applyBorder="1" applyAlignment="1">
      <alignment horizontal="left" vertical="center" wrapText="1"/>
    </xf>
    <xf numFmtId="0" fontId="21" fillId="0" borderId="7" xfId="6" applyFont="1" applyBorder="1" applyAlignment="1">
      <alignment horizontal="left" vertical="center" wrapText="1"/>
    </xf>
    <xf numFmtId="0" fontId="0" fillId="0" borderId="7" xfId="0" applyBorder="1" applyAlignment="1">
      <alignment wrapText="1"/>
    </xf>
    <xf numFmtId="172" fontId="3" fillId="0" borderId="10" xfId="0" applyNumberFormat="1" applyFont="1" applyBorder="1" applyAlignment="1">
      <alignment horizontal="center" wrapText="1"/>
    </xf>
    <xf numFmtId="0" fontId="3" fillId="0" borderId="22" xfId="0" applyFont="1" applyBorder="1" applyAlignment="1">
      <alignment horizontal="center" vertical="center" wrapText="1"/>
    </xf>
    <xf numFmtId="0" fontId="0" fillId="0" borderId="33" xfId="0" applyBorder="1" applyAlignment="1">
      <alignment wrapText="1"/>
    </xf>
    <xf numFmtId="0" fontId="0" fillId="0" borderId="16" xfId="0" applyBorder="1" applyAlignment="1">
      <alignment wrapText="1"/>
    </xf>
    <xf numFmtId="0" fontId="12" fillId="0" borderId="11" xfId="6" applyFont="1" applyBorder="1" applyAlignment="1">
      <alignment horizontal="center" vertical="center"/>
    </xf>
    <xf numFmtId="0" fontId="12" fillId="0" borderId="12" xfId="6" applyFont="1" applyBorder="1" applyAlignment="1">
      <alignment horizontal="center" vertical="center"/>
    </xf>
    <xf numFmtId="4" fontId="2" fillId="0" borderId="7" xfId="6" applyNumberFormat="1" applyFont="1" applyFill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textRotation="90"/>
    </xf>
    <xf numFmtId="4" fontId="15" fillId="0" borderId="7" xfId="6" applyNumberFormat="1" applyFont="1" applyFill="1" applyBorder="1" applyAlignment="1">
      <alignment horizontal="center" vertical="center" textRotation="90"/>
    </xf>
    <xf numFmtId="0" fontId="0" fillId="0" borderId="7" xfId="0" applyBorder="1" applyAlignment="1">
      <alignment horizontal="center" vertical="center" textRotation="90"/>
    </xf>
    <xf numFmtId="0" fontId="21" fillId="6" borderId="7" xfId="6" applyFont="1" applyFill="1" applyBorder="1" applyAlignment="1">
      <alignment horizontal="left" vertical="center" wrapText="1"/>
    </xf>
    <xf numFmtId="0" fontId="19" fillId="0" borderId="9" xfId="6" applyFont="1" applyBorder="1" applyAlignment="1">
      <alignment horizontal="center" vertical="center"/>
    </xf>
    <xf numFmtId="0" fontId="19" fillId="0" borderId="7" xfId="6" applyFont="1" applyBorder="1" applyAlignment="1">
      <alignment horizontal="center" vertical="center"/>
    </xf>
    <xf numFmtId="0" fontId="3" fillId="0" borderId="7" xfId="6" applyFont="1" applyBorder="1" applyAlignment="1">
      <alignment horizontal="center" vertical="center" wrapText="1"/>
    </xf>
    <xf numFmtId="0" fontId="21" fillId="0" borderId="9" xfId="6" applyFont="1" applyFill="1" applyBorder="1" applyAlignment="1">
      <alignment horizontal="center" vertical="center" wrapText="1"/>
    </xf>
    <xf numFmtId="0" fontId="0" fillId="0" borderId="36" xfId="0" applyBorder="1" applyAlignment="1">
      <alignment wrapText="1"/>
    </xf>
    <xf numFmtId="0" fontId="0" fillId="0" borderId="10" xfId="0" applyBorder="1" applyAlignment="1">
      <alignment wrapText="1"/>
    </xf>
    <xf numFmtId="0" fontId="37" fillId="11" borderId="61" xfId="0" applyFont="1" applyFill="1" applyBorder="1" applyAlignment="1">
      <alignment horizontal="center" vertical="center" wrapText="1"/>
    </xf>
    <xf numFmtId="0" fontId="37" fillId="11" borderId="64" xfId="0" applyFont="1" applyFill="1" applyBorder="1" applyAlignment="1">
      <alignment horizontal="center" vertical="center" wrapText="1"/>
    </xf>
    <xf numFmtId="0" fontId="37" fillId="11" borderId="61" xfId="0" applyFont="1" applyFill="1" applyBorder="1" applyAlignment="1">
      <alignment horizontal="center" vertical="center"/>
    </xf>
    <xf numFmtId="0" fontId="37" fillId="11" borderId="64" xfId="0" applyFont="1" applyFill="1" applyBorder="1" applyAlignment="1">
      <alignment horizontal="center" vertical="center"/>
    </xf>
    <xf numFmtId="0" fontId="37" fillId="11" borderId="62" xfId="0" applyFont="1" applyFill="1" applyBorder="1" applyAlignment="1">
      <alignment horizontal="center" vertical="center"/>
    </xf>
    <xf numFmtId="0" fontId="37" fillId="11" borderId="63" xfId="0" applyFont="1" applyFill="1" applyBorder="1" applyAlignment="1">
      <alignment horizontal="center" vertical="center"/>
    </xf>
    <xf numFmtId="0" fontId="37" fillId="11" borderId="66" xfId="0" applyFont="1" applyFill="1" applyBorder="1" applyAlignment="1">
      <alignment horizontal="center" vertical="center"/>
    </xf>
    <xf numFmtId="0" fontId="1" fillId="0" borderId="65" xfId="0" applyFont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1" fillId="0" borderId="65" xfId="0" applyFont="1" applyBorder="1" applyAlignment="1">
      <alignment horizontal="center" vertical="center" wrapText="1"/>
    </xf>
    <xf numFmtId="8" fontId="0" fillId="0" borderId="70" xfId="0" applyNumberFormat="1" applyBorder="1" applyAlignment="1">
      <alignment horizontal="center" vertical="center"/>
    </xf>
    <xf numFmtId="8" fontId="0" fillId="0" borderId="71" xfId="0" applyNumberFormat="1" applyBorder="1" applyAlignment="1">
      <alignment horizontal="center" vertical="center"/>
    </xf>
    <xf numFmtId="8" fontId="0" fillId="0" borderId="72" xfId="0" applyNumberFormat="1" applyBorder="1" applyAlignment="1">
      <alignment horizontal="center" vertical="center"/>
    </xf>
    <xf numFmtId="8" fontId="0" fillId="0" borderId="65" xfId="0" applyNumberFormat="1" applyBorder="1" applyAlignment="1">
      <alignment horizontal="center" vertical="center"/>
    </xf>
    <xf numFmtId="0" fontId="37" fillId="11" borderId="67" xfId="0" applyFont="1" applyFill="1" applyBorder="1" applyAlignment="1">
      <alignment horizontal="center" vertical="center"/>
    </xf>
    <xf numFmtId="0" fontId="37" fillId="11" borderId="68" xfId="0" applyFont="1" applyFill="1" applyBorder="1" applyAlignment="1">
      <alignment horizontal="center" vertical="center"/>
    </xf>
    <xf numFmtId="0" fontId="37" fillId="11" borderId="0" xfId="0" applyFont="1" applyFill="1" applyAlignment="1">
      <alignment horizontal="center" vertical="center" wrapText="1"/>
    </xf>
    <xf numFmtId="0" fontId="37" fillId="11" borderId="69" xfId="0" applyFont="1" applyFill="1" applyBorder="1" applyAlignment="1">
      <alignment horizontal="center" vertical="center" wrapText="1"/>
    </xf>
    <xf numFmtId="0" fontId="1" fillId="0" borderId="70" xfId="0" applyFont="1" applyBorder="1" applyAlignment="1">
      <alignment horizontal="center" wrapText="1"/>
    </xf>
    <xf numFmtId="0" fontId="1" fillId="0" borderId="71" xfId="0" applyFont="1" applyBorder="1" applyAlignment="1">
      <alignment horizontal="center" wrapText="1"/>
    </xf>
    <xf numFmtId="0" fontId="1" fillId="0" borderId="72" xfId="0" applyFont="1" applyBorder="1" applyAlignment="1">
      <alignment horizontal="center" wrapText="1"/>
    </xf>
    <xf numFmtId="0" fontId="19" fillId="0" borderId="5" xfId="6" applyFont="1" applyBorder="1" applyAlignment="1">
      <alignment horizontal="center" vertical="center"/>
    </xf>
    <xf numFmtId="0" fontId="19" fillId="0" borderId="8" xfId="6" applyFont="1" applyBorder="1" applyAlignment="1">
      <alignment horizontal="center" vertical="center"/>
    </xf>
    <xf numFmtId="0" fontId="19" fillId="0" borderId="11" xfId="6" applyFont="1" applyBorder="1" applyAlignment="1">
      <alignment horizontal="center" vertical="center"/>
    </xf>
    <xf numFmtId="0" fontId="19" fillId="0" borderId="13" xfId="6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21" fillId="0" borderId="52" xfId="6" applyFont="1" applyFill="1" applyBorder="1" applyAlignment="1">
      <alignment horizontal="left"/>
    </xf>
    <xf numFmtId="0" fontId="21" fillId="0" borderId="39" xfId="6" applyFont="1" applyFill="1" applyBorder="1" applyAlignment="1">
      <alignment horizontal="left"/>
    </xf>
    <xf numFmtId="0" fontId="19" fillId="6" borderId="52" xfId="6" applyFont="1" applyFill="1" applyBorder="1" applyAlignment="1">
      <alignment horizontal="center" vertical="center" wrapText="1"/>
    </xf>
    <xf numFmtId="0" fontId="19" fillId="6" borderId="37" xfId="6" applyFont="1" applyFill="1" applyBorder="1" applyAlignment="1">
      <alignment horizontal="center" vertical="center" wrapText="1"/>
    </xf>
    <xf numFmtId="0" fontId="19" fillId="6" borderId="39" xfId="6" applyFont="1" applyFill="1" applyBorder="1" applyAlignment="1">
      <alignment horizontal="center" vertical="center" wrapText="1"/>
    </xf>
    <xf numFmtId="0" fontId="3" fillId="0" borderId="52" xfId="6" applyFont="1" applyBorder="1" applyAlignment="1">
      <alignment horizontal="center" vertical="center" wrapText="1"/>
    </xf>
    <xf numFmtId="0" fontId="3" fillId="0" borderId="37" xfId="6" applyFont="1" applyBorder="1" applyAlignment="1">
      <alignment horizontal="center" vertical="center" wrapText="1"/>
    </xf>
    <xf numFmtId="0" fontId="3" fillId="0" borderId="39" xfId="6" applyFont="1" applyBorder="1" applyAlignment="1">
      <alignment horizontal="center" vertical="center" wrapText="1"/>
    </xf>
    <xf numFmtId="0" fontId="12" fillId="0" borderId="52" xfId="0" applyFont="1" applyFill="1" applyBorder="1" applyAlignment="1">
      <alignment horizontal="right" wrapText="1"/>
    </xf>
    <xf numFmtId="0" fontId="0" fillId="0" borderId="37" xfId="0" applyBorder="1" applyAlignment="1">
      <alignment wrapText="1"/>
    </xf>
    <xf numFmtId="0" fontId="0" fillId="0" borderId="20" xfId="0" applyBorder="1" applyAlignment="1">
      <alignment wrapText="1"/>
    </xf>
    <xf numFmtId="49" fontId="12" fillId="0" borderId="36" xfId="0" applyNumberFormat="1" applyFont="1" applyBorder="1" applyAlignment="1">
      <alignment horizontal="center" vertical="center" wrapText="1"/>
    </xf>
    <xf numFmtId="49" fontId="12" fillId="0" borderId="37" xfId="0" applyNumberFormat="1" applyFont="1" applyBorder="1" applyAlignment="1">
      <alignment horizontal="center" vertical="center" wrapText="1"/>
    </xf>
    <xf numFmtId="49" fontId="12" fillId="0" borderId="39" xfId="0" applyNumberFormat="1" applyFont="1" applyBorder="1" applyAlignment="1">
      <alignment horizontal="center" vertical="center" wrapText="1"/>
    </xf>
    <xf numFmtId="165" fontId="12" fillId="0" borderId="48" xfId="0" applyNumberFormat="1" applyFont="1" applyBorder="1" applyAlignment="1">
      <alignment horizontal="center" vertical="center" wrapText="1"/>
    </xf>
    <xf numFmtId="0" fontId="0" fillId="0" borderId="49" xfId="0" applyBorder="1" applyAlignment="1">
      <alignment vertical="center" wrapText="1"/>
    </xf>
    <xf numFmtId="0" fontId="0" fillId="0" borderId="50" xfId="0" applyBorder="1" applyAlignment="1">
      <alignment vertical="center" wrapText="1"/>
    </xf>
    <xf numFmtId="0" fontId="12" fillId="0" borderId="52" xfId="0" applyFont="1" applyBorder="1" applyAlignment="1">
      <alignment horizontal="center" vertical="center" wrapText="1"/>
    </xf>
    <xf numFmtId="0" fontId="0" fillId="0" borderId="37" xfId="0" applyBorder="1" applyAlignment="1">
      <alignment vertical="center" wrapText="1"/>
    </xf>
    <xf numFmtId="0" fontId="12" fillId="0" borderId="10" xfId="0" applyFont="1" applyBorder="1" applyAlignment="1">
      <alignment horizontal="center"/>
    </xf>
    <xf numFmtId="0" fontId="12" fillId="0" borderId="36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2" fillId="5" borderId="19" xfId="5" applyFont="1" applyFill="1" applyBorder="1" applyAlignment="1">
      <alignment horizontal="justify" vertical="center" wrapText="1"/>
    </xf>
    <xf numFmtId="0" fontId="12" fillId="5" borderId="0" xfId="5" applyFont="1" applyFill="1" applyBorder="1" applyAlignment="1">
      <alignment horizontal="justify" vertical="center" wrapText="1"/>
    </xf>
    <xf numFmtId="0" fontId="12" fillId="5" borderId="20" xfId="5" applyFont="1" applyFill="1" applyBorder="1" applyAlignment="1">
      <alignment horizontal="justify" vertical="center" wrapText="1"/>
    </xf>
    <xf numFmtId="0" fontId="12" fillId="5" borderId="21" xfId="5" applyFont="1" applyFill="1" applyBorder="1" applyAlignment="1">
      <alignment horizontal="justify" wrapText="1"/>
    </xf>
    <xf numFmtId="0" fontId="12" fillId="5" borderId="1" xfId="5" applyFont="1" applyFill="1" applyBorder="1" applyAlignment="1">
      <alignment horizontal="justify" wrapText="1"/>
    </xf>
    <xf numFmtId="0" fontId="12" fillId="5" borderId="2" xfId="5" applyFont="1" applyFill="1" applyBorder="1" applyAlignment="1">
      <alignment horizontal="justify" wrapText="1"/>
    </xf>
    <xf numFmtId="0" fontId="7" fillId="0" borderId="26" xfId="5" applyFont="1" applyFill="1" applyBorder="1" applyAlignment="1">
      <alignment horizontal="center" vertical="center" wrapText="1"/>
    </xf>
    <xf numFmtId="0" fontId="7" fillId="0" borderId="27" xfId="5" applyFont="1" applyFill="1" applyBorder="1" applyAlignment="1">
      <alignment horizontal="center" vertical="center" wrapText="1"/>
    </xf>
    <xf numFmtId="0" fontId="7" fillId="0" borderId="51" xfId="5" applyFont="1" applyFill="1" applyBorder="1" applyAlignment="1">
      <alignment horizontal="center" vertical="center" wrapText="1"/>
    </xf>
    <xf numFmtId="0" fontId="12" fillId="5" borderId="47" xfId="5" applyFont="1" applyFill="1" applyBorder="1" applyAlignment="1">
      <alignment horizontal="left" wrapText="1"/>
    </xf>
    <xf numFmtId="0" fontId="7" fillId="5" borderId="24" xfId="5" applyFont="1" applyFill="1" applyBorder="1" applyAlignment="1">
      <alignment wrapText="1"/>
    </xf>
    <xf numFmtId="0" fontId="7" fillId="5" borderId="25" xfId="5" applyFont="1" applyFill="1" applyBorder="1" applyAlignment="1">
      <alignment wrapText="1"/>
    </xf>
    <xf numFmtId="0" fontId="12" fillId="5" borderId="19" xfId="5" applyFont="1" applyFill="1" applyBorder="1" applyAlignment="1">
      <alignment horizontal="left" vertical="center" wrapText="1"/>
    </xf>
    <xf numFmtId="0" fontId="5" fillId="0" borderId="0" xfId="5" applyAlignment="1">
      <alignment vertical="center" wrapText="1"/>
    </xf>
    <xf numFmtId="0" fontId="5" fillId="0" borderId="20" xfId="5" applyBorder="1" applyAlignment="1">
      <alignment vertical="center" wrapText="1"/>
    </xf>
    <xf numFmtId="0" fontId="28" fillId="0" borderId="52" xfId="5" applyFont="1" applyBorder="1" applyAlignment="1"/>
    <xf numFmtId="0" fontId="26" fillId="0" borderId="37" xfId="5" applyFont="1" applyBorder="1" applyAlignment="1"/>
    <xf numFmtId="0" fontId="26" fillId="0" borderId="38" xfId="5" applyFont="1" applyBorder="1" applyAlignment="1"/>
    <xf numFmtId="0" fontId="12" fillId="0" borderId="52" xfId="0" applyFont="1" applyBorder="1" applyAlignment="1"/>
    <xf numFmtId="0" fontId="1" fillId="0" borderId="37" xfId="0" applyFont="1" applyBorder="1" applyAlignment="1"/>
    <xf numFmtId="0" fontId="1" fillId="0" borderId="39" xfId="0" applyFont="1" applyBorder="1" applyAlignment="1"/>
    <xf numFmtId="0" fontId="28" fillId="0" borderId="23" xfId="0" applyFont="1" applyBorder="1" applyAlignment="1">
      <alignment wrapText="1"/>
    </xf>
    <xf numFmtId="0" fontId="26" fillId="0" borderId="54" xfId="0" applyFont="1" applyBorder="1" applyAlignment="1">
      <alignment wrapText="1"/>
    </xf>
    <xf numFmtId="0" fontId="26" fillId="0" borderId="55" xfId="0" applyFont="1" applyBorder="1" applyAlignment="1">
      <alignment wrapText="1"/>
    </xf>
    <xf numFmtId="165" fontId="12" fillId="0" borderId="9" xfId="17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wrapText="1"/>
    </xf>
    <xf numFmtId="0" fontId="7" fillId="0" borderId="23" xfId="0" applyFont="1" applyBorder="1" applyAlignment="1">
      <alignment wrapText="1"/>
    </xf>
    <xf numFmtId="0" fontId="1" fillId="0" borderId="54" xfId="0" applyFont="1" applyBorder="1" applyAlignment="1">
      <alignment wrapText="1"/>
    </xf>
    <xf numFmtId="0" fontId="1" fillId="0" borderId="55" xfId="0" applyFont="1" applyBorder="1" applyAlignment="1">
      <alignment wrapText="1"/>
    </xf>
    <xf numFmtId="165" fontId="12" fillId="0" borderId="11" xfId="17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wrapText="1"/>
    </xf>
    <xf numFmtId="0" fontId="7" fillId="0" borderId="52" xfId="5" applyFont="1" applyFill="1" applyBorder="1" applyAlignment="1"/>
    <xf numFmtId="0" fontId="1" fillId="0" borderId="37" xfId="5" applyFont="1" applyBorder="1" applyAlignment="1"/>
    <xf numFmtId="0" fontId="1" fillId="0" borderId="51" xfId="5" applyFont="1" applyBorder="1" applyAlignment="1"/>
    <xf numFmtId="0" fontId="1" fillId="0" borderId="7" xfId="5" applyFont="1" applyBorder="1" applyAlignment="1">
      <alignment horizontal="center" wrapText="1"/>
    </xf>
    <xf numFmtId="0" fontId="7" fillId="0" borderId="0" xfId="5" applyFont="1" applyBorder="1" applyAlignment="1">
      <alignment wrapText="1"/>
    </xf>
    <xf numFmtId="165" fontId="19" fillId="0" borderId="5" xfId="5" applyNumberFormat="1" applyFont="1" applyBorder="1" applyAlignment="1">
      <alignment horizontal="center" vertical="center" wrapText="1"/>
    </xf>
    <xf numFmtId="165" fontId="19" fillId="0" borderId="6" xfId="5" applyNumberFormat="1" applyFont="1" applyBorder="1" applyAlignment="1">
      <alignment horizontal="center" vertical="center" wrapText="1"/>
    </xf>
    <xf numFmtId="165" fontId="19" fillId="0" borderId="8" xfId="5" applyNumberFormat="1" applyFont="1" applyBorder="1" applyAlignment="1">
      <alignment horizontal="center" vertical="center" wrapText="1"/>
    </xf>
    <xf numFmtId="0" fontId="12" fillId="0" borderId="52" xfId="5" applyFont="1" applyBorder="1" applyAlignment="1">
      <alignment horizontal="center" vertical="center" wrapText="1"/>
    </xf>
    <xf numFmtId="0" fontId="7" fillId="0" borderId="37" xfId="5" applyFont="1" applyBorder="1" applyAlignment="1">
      <alignment horizontal="center" vertical="center" wrapText="1"/>
    </xf>
    <xf numFmtId="0" fontId="7" fillId="0" borderId="38" xfId="5" applyFont="1" applyBorder="1" applyAlignment="1">
      <alignment horizontal="center" vertical="center" wrapText="1"/>
    </xf>
    <xf numFmtId="171" fontId="7" fillId="0" borderId="7" xfId="5" applyNumberFormat="1" applyFont="1" applyBorder="1" applyAlignment="1">
      <alignment horizontal="left" wrapText="1"/>
    </xf>
    <xf numFmtId="0" fontId="7" fillId="0" borderId="7" xfId="5" applyFont="1" applyBorder="1" applyAlignment="1">
      <alignment horizontal="left" wrapText="1"/>
    </xf>
    <xf numFmtId="0" fontId="7" fillId="0" borderId="10" xfId="5" applyFont="1" applyBorder="1" applyAlignment="1">
      <alignment horizontal="left" wrapText="1"/>
    </xf>
    <xf numFmtId="0" fontId="12" fillId="0" borderId="7" xfId="5" applyFont="1" applyBorder="1" applyAlignment="1">
      <alignment horizontal="left" wrapText="1"/>
    </xf>
    <xf numFmtId="0" fontId="12" fillId="0" borderId="9" xfId="5" applyFont="1" applyBorder="1" applyAlignment="1"/>
    <xf numFmtId="0" fontId="12" fillId="0" borderId="7" xfId="5" applyFont="1" applyBorder="1" applyAlignment="1"/>
    <xf numFmtId="0" fontId="12" fillId="0" borderId="7" xfId="5" applyFont="1" applyBorder="1" applyAlignment="1">
      <alignment horizontal="center"/>
    </xf>
    <xf numFmtId="0" fontId="7" fillId="0" borderId="7" xfId="5" applyFont="1" applyBorder="1" applyAlignment="1">
      <alignment horizontal="center"/>
    </xf>
    <xf numFmtId="0" fontId="7" fillId="0" borderId="10" xfId="5" applyFont="1" applyBorder="1" applyAlignment="1">
      <alignment horizontal="center"/>
    </xf>
    <xf numFmtId="0" fontId="12" fillId="0" borderId="9" xfId="0" applyFont="1" applyBorder="1" applyAlignment="1"/>
    <xf numFmtId="0" fontId="12" fillId="0" borderId="7" xfId="0" applyFont="1" applyBorder="1" applyAlignment="1"/>
    <xf numFmtId="0" fontId="28" fillId="0" borderId="52" xfId="5" applyFont="1" applyFill="1" applyBorder="1" applyAlignment="1">
      <alignment vertical="center" wrapText="1"/>
    </xf>
    <xf numFmtId="0" fontId="26" fillId="0" borderId="37" xfId="5" applyFont="1" applyBorder="1" applyAlignment="1">
      <alignment wrapText="1"/>
    </xf>
    <xf numFmtId="0" fontId="26" fillId="0" borderId="51" xfId="5" applyFont="1" applyBorder="1" applyAlignment="1">
      <alignment wrapText="1"/>
    </xf>
    <xf numFmtId="0" fontId="7" fillId="0" borderId="52" xfId="5" applyFont="1" applyFill="1" applyBorder="1" applyAlignment="1">
      <alignment vertical="center" wrapText="1"/>
    </xf>
    <xf numFmtId="0" fontId="5" fillId="0" borderId="37" xfId="5" applyBorder="1" applyAlignment="1">
      <alignment wrapText="1"/>
    </xf>
    <xf numFmtId="0" fontId="5" fillId="0" borderId="51" xfId="5" applyBorder="1" applyAlignment="1">
      <alignment wrapText="1"/>
    </xf>
    <xf numFmtId="0" fontId="1" fillId="0" borderId="37" xfId="5" applyFont="1" applyBorder="1" applyAlignment="1">
      <alignment wrapText="1"/>
    </xf>
    <xf numFmtId="0" fontId="1" fillId="0" borderId="51" xfId="5" applyFont="1" applyBorder="1" applyAlignment="1">
      <alignment wrapText="1"/>
    </xf>
    <xf numFmtId="0" fontId="28" fillId="0" borderId="52" xfId="5" applyFont="1" applyFill="1" applyBorder="1" applyAlignment="1"/>
    <xf numFmtId="0" fontId="26" fillId="0" borderId="51" xfId="5" applyFont="1" applyBorder="1" applyAlignment="1"/>
    <xf numFmtId="0" fontId="7" fillId="0" borderId="10" xfId="0" applyFont="1" applyBorder="1" applyAlignment="1">
      <alignment horizontal="center"/>
    </xf>
    <xf numFmtId="0" fontId="7" fillId="0" borderId="0" xfId="0" applyFont="1" applyBorder="1" applyAlignment="1">
      <alignment wrapText="1" shrinkToFit="1"/>
    </xf>
    <xf numFmtId="0" fontId="0" fillId="0" borderId="3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171" fontId="12" fillId="0" borderId="52" xfId="0" applyNumberFormat="1" applyFont="1" applyBorder="1" applyAlignment="1">
      <alignment horizontal="left" vertical="center"/>
    </xf>
    <xf numFmtId="171" fontId="12" fillId="0" borderId="37" xfId="0" applyNumberFormat="1" applyFont="1" applyBorder="1" applyAlignment="1">
      <alignment horizontal="left" vertical="center"/>
    </xf>
    <xf numFmtId="171" fontId="12" fillId="0" borderId="38" xfId="0" applyNumberFormat="1" applyFont="1" applyBorder="1" applyAlignment="1">
      <alignment horizontal="left" vertical="center"/>
    </xf>
    <xf numFmtId="0" fontId="12" fillId="0" borderId="9" xfId="0" applyFont="1" applyBorder="1" applyAlignment="1">
      <alignment horizontal="left"/>
    </xf>
    <xf numFmtId="0" fontId="12" fillId="0" borderId="7" xfId="0" applyFont="1" applyBorder="1" applyAlignment="1">
      <alignment horizontal="left"/>
    </xf>
    <xf numFmtId="0" fontId="12" fillId="0" borderId="10" xfId="0" applyFont="1" applyBorder="1" applyAlignment="1">
      <alignment horizontal="left"/>
    </xf>
    <xf numFmtId="0" fontId="12" fillId="0" borderId="52" xfId="0" applyFont="1" applyBorder="1" applyAlignment="1">
      <alignment wrapText="1"/>
    </xf>
    <xf numFmtId="0" fontId="7" fillId="0" borderId="52" xfId="0" applyFont="1" applyBorder="1" applyAlignment="1">
      <alignment wrapText="1"/>
    </xf>
    <xf numFmtId="0" fontId="1" fillId="0" borderId="37" xfId="0" applyFont="1" applyBorder="1" applyAlignment="1">
      <alignment wrapText="1"/>
    </xf>
    <xf numFmtId="0" fontId="1" fillId="0" borderId="51" xfId="0" applyFont="1" applyBorder="1" applyAlignment="1">
      <alignment wrapText="1"/>
    </xf>
    <xf numFmtId="0" fontId="28" fillId="0" borderId="52" xfId="0" applyFont="1" applyBorder="1" applyAlignment="1">
      <alignment wrapText="1"/>
    </xf>
    <xf numFmtId="0" fontId="26" fillId="0" borderId="37" xfId="0" applyFont="1" applyBorder="1" applyAlignment="1">
      <alignment wrapText="1"/>
    </xf>
    <xf numFmtId="0" fontId="26" fillId="0" borderId="38" xfId="0" applyFont="1" applyBorder="1" applyAlignment="1">
      <alignment wrapText="1"/>
    </xf>
    <xf numFmtId="165" fontId="12" fillId="0" borderId="53" xfId="17" applyFont="1" applyFill="1" applyBorder="1" applyAlignment="1">
      <alignment horizontal="center" vertical="center" wrapText="1"/>
    </xf>
    <xf numFmtId="0" fontId="1" fillId="0" borderId="41" xfId="0" applyFont="1" applyBorder="1" applyAlignment="1">
      <alignment horizontal="center" wrapText="1"/>
    </xf>
    <xf numFmtId="0" fontId="1" fillId="0" borderId="28" xfId="0" applyFont="1" applyBorder="1" applyAlignment="1">
      <alignment horizontal="center" wrapText="1"/>
    </xf>
    <xf numFmtId="0" fontId="28" fillId="0" borderId="52" xfId="0" applyFont="1" applyBorder="1" applyAlignment="1"/>
    <xf numFmtId="0" fontId="26" fillId="0" borderId="37" xfId="0" applyFont="1" applyBorder="1" applyAlignment="1"/>
    <xf numFmtId="0" fontId="26" fillId="0" borderId="38" xfId="0" applyFont="1" applyBorder="1" applyAlignment="1"/>
    <xf numFmtId="0" fontId="12" fillId="5" borderId="47" xfId="0" applyFont="1" applyFill="1" applyBorder="1" applyAlignment="1">
      <alignment wrapText="1"/>
    </xf>
    <xf numFmtId="0" fontId="7" fillId="5" borderId="24" xfId="0" applyFont="1" applyFill="1" applyBorder="1" applyAlignment="1">
      <alignment wrapText="1"/>
    </xf>
    <xf numFmtId="0" fontId="7" fillId="5" borderId="25" xfId="0" applyFont="1" applyFill="1" applyBorder="1" applyAlignment="1">
      <alignment wrapText="1"/>
    </xf>
    <xf numFmtId="0" fontId="7" fillId="5" borderId="19" xfId="0" applyFont="1" applyFill="1" applyBorder="1" applyAlignment="1">
      <alignment horizontal="left" wrapText="1"/>
    </xf>
    <xf numFmtId="0" fontId="7" fillId="5" borderId="0" xfId="0" applyFont="1" applyFill="1" applyBorder="1" applyAlignment="1">
      <alignment horizontal="left" wrapText="1"/>
    </xf>
    <xf numFmtId="0" fontId="7" fillId="5" borderId="20" xfId="0" applyFont="1" applyFill="1" applyBorder="1" applyAlignment="1">
      <alignment horizontal="left" wrapText="1"/>
    </xf>
    <xf numFmtId="0" fontId="7" fillId="5" borderId="19" xfId="0" applyFont="1" applyFill="1" applyBorder="1" applyAlignment="1">
      <alignment wrapText="1"/>
    </xf>
    <xf numFmtId="0" fontId="7" fillId="5" borderId="0" xfId="0" applyFont="1" applyFill="1" applyBorder="1" applyAlignment="1">
      <alignment wrapText="1"/>
    </xf>
    <xf numFmtId="0" fontId="7" fillId="5" borderId="20" xfId="0" applyFont="1" applyFill="1" applyBorder="1" applyAlignment="1">
      <alignment wrapText="1"/>
    </xf>
    <xf numFmtId="0" fontId="7" fillId="0" borderId="37" xfId="5" applyFont="1" applyFill="1" applyBorder="1" applyAlignment="1">
      <alignment vertical="center" wrapText="1"/>
    </xf>
    <xf numFmtId="0" fontId="28" fillId="0" borderId="37" xfId="5" applyFont="1" applyFill="1" applyBorder="1" applyAlignment="1">
      <alignment vertical="center" wrapText="1"/>
    </xf>
    <xf numFmtId="0" fontId="26" fillId="0" borderId="38" xfId="5" applyFont="1" applyBorder="1" applyAlignment="1">
      <alignment wrapText="1"/>
    </xf>
    <xf numFmtId="165" fontId="12" fillId="0" borderId="39" xfId="17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justify" wrapText="1"/>
    </xf>
    <xf numFmtId="0" fontId="0" fillId="0" borderId="0" xfId="0" applyFill="1" applyBorder="1" applyAlignment="1">
      <alignment horizontal="justify" wrapText="1"/>
    </xf>
    <xf numFmtId="0" fontId="27" fillId="0" borderId="0" xfId="0" applyFont="1" applyFill="1" applyBorder="1" applyAlignment="1">
      <alignment wrapText="1"/>
    </xf>
    <xf numFmtId="0" fontId="26" fillId="0" borderId="0" xfId="0" applyFont="1" applyFill="1" applyBorder="1" applyAlignment="1">
      <alignment wrapText="1"/>
    </xf>
    <xf numFmtId="0" fontId="0" fillId="0" borderId="37" xfId="0" applyBorder="1" applyAlignment="1"/>
    <xf numFmtId="0" fontId="0" fillId="0" borderId="39" xfId="0" applyBorder="1" applyAlignment="1"/>
    <xf numFmtId="0" fontId="10" fillId="0" borderId="9" xfId="0" applyFont="1" applyFill="1" applyBorder="1" applyAlignment="1"/>
    <xf numFmtId="0" fontId="0" fillId="0" borderId="7" xfId="0" applyBorder="1" applyAlignment="1"/>
    <xf numFmtId="0" fontId="12" fillId="0" borderId="9" xfId="0" applyFont="1" applyFill="1" applyBorder="1" applyAlignment="1"/>
    <xf numFmtId="0" fontId="7" fillId="5" borderId="21" xfId="0" applyFont="1" applyFill="1" applyBorder="1" applyAlignment="1">
      <alignment wrapText="1"/>
    </xf>
    <xf numFmtId="0" fontId="7" fillId="5" borderId="1" xfId="0" applyFont="1" applyFill="1" applyBorder="1" applyAlignment="1">
      <alignment wrapText="1"/>
    </xf>
    <xf numFmtId="0" fontId="7" fillId="5" borderId="2" xfId="0" applyFont="1" applyFill="1" applyBorder="1" applyAlignment="1">
      <alignment wrapText="1"/>
    </xf>
    <xf numFmtId="0" fontId="7" fillId="0" borderId="53" xfId="0" applyFont="1" applyFill="1" applyBorder="1" applyAlignment="1"/>
    <xf numFmtId="0" fontId="0" fillId="0" borderId="41" xfId="0" applyBorder="1" applyAlignment="1"/>
    <xf numFmtId="0" fontId="0" fillId="0" borderId="42" xfId="0" applyBorder="1" applyAlignment="1"/>
    <xf numFmtId="0" fontId="0" fillId="0" borderId="7" xfId="0" applyBorder="1" applyAlignment="1">
      <alignment horizontal="center" wrapText="1"/>
    </xf>
    <xf numFmtId="165" fontId="12" fillId="0" borderId="31" xfId="17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wrapText="1"/>
    </xf>
    <xf numFmtId="165" fontId="12" fillId="0" borderId="48" xfId="17" applyFont="1" applyFill="1" applyBorder="1" applyAlignment="1">
      <alignment horizontal="center" vertical="center" wrapText="1"/>
    </xf>
    <xf numFmtId="0" fontId="0" fillId="0" borderId="49" xfId="0" applyBorder="1" applyAlignment="1">
      <alignment wrapText="1"/>
    </xf>
    <xf numFmtId="0" fontId="0" fillId="0" borderId="50" xfId="0" applyBorder="1" applyAlignment="1">
      <alignment wrapText="1"/>
    </xf>
    <xf numFmtId="0" fontId="0" fillId="0" borderId="41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7" fillId="0" borderId="0" xfId="0" applyFont="1" applyBorder="1" applyAlignment="1">
      <alignment wrapText="1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171" fontId="7" fillId="0" borderId="7" xfId="0" applyNumberFormat="1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7" fillId="0" borderId="10" xfId="0" applyFont="1" applyBorder="1" applyAlignment="1">
      <alignment horizontal="left" wrapText="1"/>
    </xf>
    <xf numFmtId="0" fontId="12" fillId="0" borderId="7" xfId="0" applyFont="1" applyBorder="1" applyAlignment="1">
      <alignment horizontal="left" wrapText="1"/>
    </xf>
    <xf numFmtId="0" fontId="7" fillId="0" borderId="52" xfId="0" applyFont="1" applyFill="1" applyBorder="1" applyAlignment="1">
      <alignment vertical="center" wrapText="1"/>
    </xf>
    <xf numFmtId="0" fontId="0" fillId="0" borderId="51" xfId="0" applyBorder="1" applyAlignment="1">
      <alignment wrapText="1"/>
    </xf>
    <xf numFmtId="0" fontId="28" fillId="0" borderId="52" xfId="0" applyFont="1" applyFill="1" applyBorder="1" applyAlignment="1">
      <alignment vertical="center" wrapText="1"/>
    </xf>
    <xf numFmtId="0" fontId="26" fillId="0" borderId="51" xfId="0" applyFont="1" applyBorder="1" applyAlignment="1">
      <alignment wrapText="1"/>
    </xf>
    <xf numFmtId="0" fontId="28" fillId="0" borderId="52" xfId="0" applyFont="1" applyFill="1" applyBorder="1" applyAlignment="1"/>
    <xf numFmtId="0" fontId="26" fillId="0" borderId="51" xfId="0" applyFont="1" applyBorder="1" applyAlignment="1"/>
    <xf numFmtId="0" fontId="7" fillId="5" borderId="19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20" xfId="0" applyFont="1" applyBorder="1" applyAlignment="1">
      <alignment vertical="center" wrapText="1"/>
    </xf>
    <xf numFmtId="0" fontId="12" fillId="5" borderId="19" xfId="0" applyFont="1" applyFill="1" applyBorder="1" applyAlignment="1">
      <alignment horizontal="justify" vertical="center" wrapText="1"/>
    </xf>
    <xf numFmtId="0" fontId="12" fillId="5" borderId="0" xfId="0" applyFont="1" applyFill="1" applyBorder="1" applyAlignment="1">
      <alignment horizontal="justify" vertical="center" wrapText="1"/>
    </xf>
    <xf numFmtId="0" fontId="12" fillId="5" borderId="20" xfId="0" applyFont="1" applyFill="1" applyBorder="1" applyAlignment="1">
      <alignment horizontal="justify" vertical="center" wrapText="1"/>
    </xf>
    <xf numFmtId="0" fontId="12" fillId="5" borderId="21" xfId="0" applyFont="1" applyFill="1" applyBorder="1" applyAlignment="1">
      <alignment horizontal="justify" wrapText="1"/>
    </xf>
    <xf numFmtId="0" fontId="12" fillId="5" borderId="1" xfId="0" applyFont="1" applyFill="1" applyBorder="1" applyAlignment="1">
      <alignment horizontal="justify" wrapText="1"/>
    </xf>
    <xf numFmtId="0" fontId="12" fillId="5" borderId="2" xfId="0" applyFont="1" applyFill="1" applyBorder="1" applyAlignment="1">
      <alignment horizontal="justify" wrapText="1"/>
    </xf>
    <xf numFmtId="0" fontId="12" fillId="5" borderId="47" xfId="0" applyFont="1" applyFill="1" applyBorder="1" applyAlignment="1">
      <alignment horizontal="left" wrapText="1"/>
    </xf>
  </cellXfs>
  <cellStyles count="57">
    <cellStyle name="Moeda 2" xfId="1"/>
    <cellStyle name="Moeda 2 2" xfId="44"/>
    <cellStyle name="Moeda 2 3" xfId="30"/>
    <cellStyle name="Moeda 3" xfId="2"/>
    <cellStyle name="Moeda 3 2" xfId="31"/>
    <cellStyle name="Moeda 4" xfId="3"/>
    <cellStyle name="Moeda 4 2" xfId="4"/>
    <cellStyle name="Moeda 4 2 2" xfId="48"/>
    <cellStyle name="Moeda 4 3" xfId="47"/>
    <cellStyle name="Moeda 5" xfId="28"/>
    <cellStyle name="Moeda 5 2" xfId="56"/>
    <cellStyle name="Moeda 6" xfId="46"/>
    <cellStyle name="Normal" xfId="0" builtinId="0"/>
    <cellStyle name="Normal 2" xfId="5"/>
    <cellStyle name="Normal 2 2" xfId="32"/>
    <cellStyle name="Normal 3" xfId="29"/>
    <cellStyle name="Normal_BR-101-AL_Orçamento_ Elaboração de Projetos de Estr PBAIs" xfId="6"/>
    <cellStyle name="Porcentagem" xfId="27" builtinId="5"/>
    <cellStyle name="Porcentagem 2" xfId="7"/>
    <cellStyle name="Porcentagem 2 2" xfId="8"/>
    <cellStyle name="Porcentagem 2 2 2" xfId="34"/>
    <cellStyle name="Porcentagem 2 3" xfId="33"/>
    <cellStyle name="Separador de milhares 2" xfId="9"/>
    <cellStyle name="Separador de milhares 2 2" xfId="10"/>
    <cellStyle name="Separador de milhares 2 2 2" xfId="11"/>
    <cellStyle name="Separador de milhares 2 2 2 2" xfId="12"/>
    <cellStyle name="Separador de milhares 2 2 2 2 2" xfId="49"/>
    <cellStyle name="Separador de milhares 2 2 2 3" xfId="41"/>
    <cellStyle name="Separador de milhares 2 2 3" xfId="36"/>
    <cellStyle name="Separador de milhares 2 3" xfId="13"/>
    <cellStyle name="Separador de milhares 2 3 2" xfId="14"/>
    <cellStyle name="Separador de milhares 2 3 2 2" xfId="50"/>
    <cellStyle name="Separador de milhares 2 3 3" xfId="40"/>
    <cellStyle name="Separador de milhares 2 4" xfId="35"/>
    <cellStyle name="Vírgula" xfId="15" builtinId="3"/>
    <cellStyle name="Vírgula 2" xfId="16"/>
    <cellStyle name="Vírgula 2 2" xfId="17"/>
    <cellStyle name="Vírgula 2 2 2" xfId="18"/>
    <cellStyle name="Vírgula 2 2 2 2" xfId="19"/>
    <cellStyle name="Vírgula 2 2 2 2 2" xfId="51"/>
    <cellStyle name="Vírgula 2 2 2 3" xfId="43"/>
    <cellStyle name="Vírgula 2 2 3" xfId="38"/>
    <cellStyle name="Vírgula 2 3" xfId="20"/>
    <cellStyle name="Vírgula 2 3 2" xfId="52"/>
    <cellStyle name="Vírgula 2 4" xfId="37"/>
    <cellStyle name="Vírgula 3" xfId="21"/>
    <cellStyle name="Vírgula 3 2" xfId="22"/>
    <cellStyle name="Vírgula 3 2 2" xfId="45"/>
    <cellStyle name="Vírgula 3 3" xfId="39"/>
    <cellStyle name="Vírgula 4" xfId="23"/>
    <cellStyle name="Vírgula 4 2" xfId="24"/>
    <cellStyle name="Vírgula 4 2 2" xfId="53"/>
    <cellStyle name="Vírgula 4 3" xfId="42"/>
    <cellStyle name="Vírgula 5" xfId="25"/>
    <cellStyle name="Vírgula 5 2" xfId="26"/>
    <cellStyle name="Vírgula 5 2 2" xfId="55"/>
    <cellStyle name="Vírgula 5 3" xfId="54"/>
  </cellStyles>
  <dxfs count="0"/>
  <tableStyles count="0" defaultTableStyle="TableStyleMedium9" defaultPivotStyle="PivotStyleLight16"/>
  <colors>
    <mruColors>
      <color rgb="FFFF3300"/>
      <color rgb="FF0000FF"/>
      <color rgb="FFFFFF99"/>
      <color rgb="FFCCFFFF"/>
      <color rgb="FF66FFFF"/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BR%20308-PA\DOCTS%20ANTERIORES\VERS&#195;O%20-%20CONCORR&#202;NCIA%20T&#201;CNICA%20E%20PRE&#199;O\BR-308%20PA%20-%20OR&#199;AMENTO%20VERS&#195;O%20FINAL%20(190814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DESPESAS GERAIS"/>
      <sheetName val="PGA - EQUIPE"/>
      <sheetName val="PGA-VIAGENS"/>
      <sheetName val="PGA-DESLOC"/>
      <sheetName val="PMQA"/>
      <sheetName val="CUSTO MÉDIO ÁGUA"/>
      <sheetName val="PROTEÇÃO A FLORA"/>
      <sheetName val="PROTEÇÃO A  FAUNA"/>
      <sheetName val="ATROP FAUNA"/>
      <sheetName val="MANEJO"/>
      <sheetName val="RUIDO"/>
      <sheetName val="PCS"/>
      <sheetName val="PEA - PTQA"/>
      <sheetName val="SUPR VEGETAÇÃO"/>
      <sheetName val="MONIT.ARQ."/>
      <sheetName val="PROSP DIAG"/>
      <sheetName val="PLANTIO COMPENSATÓRIO"/>
      <sheetName val="PLANO AÇÃO EMERG"/>
      <sheetName val="PRODUTOS 3"/>
      <sheetName val="ORÇAMENTO"/>
      <sheetName val="PRODUTOS 2"/>
      <sheetName val="CRONOGRAMA"/>
      <sheetName val="PRODUTOS"/>
    </sheetNames>
    <sheetDataSet>
      <sheetData sheetId="0" refreshError="1">
        <row r="18">
          <cell r="C18" t="str">
            <v>T4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19"/>
  <sheetViews>
    <sheetView zoomScale="85" zoomScaleNormal="85" zoomScaleSheetLayoutView="82" workbookViewId="0">
      <selection activeCell="E31" sqref="E31"/>
    </sheetView>
  </sheetViews>
  <sheetFormatPr defaultRowHeight="12.75"/>
  <cols>
    <col min="1" max="1" width="4.42578125" customWidth="1"/>
    <col min="2" max="2" width="34.28515625" customWidth="1"/>
    <col min="3" max="3" width="14" customWidth="1"/>
    <col min="4" max="4" width="11.28515625" customWidth="1"/>
    <col min="5" max="5" width="15.5703125" customWidth="1"/>
    <col min="6" max="6" width="13.28515625" customWidth="1"/>
    <col min="7" max="7" width="4.85546875" customWidth="1"/>
    <col min="8" max="8" width="38.28515625" customWidth="1"/>
    <col min="9" max="9" width="13.42578125" customWidth="1"/>
    <col min="10" max="10" width="11.5703125" customWidth="1"/>
    <col min="11" max="11" width="15.140625" customWidth="1"/>
    <col min="14" max="14" width="6.5703125" customWidth="1"/>
    <col min="15" max="15" width="17.28515625" customWidth="1"/>
    <col min="16" max="16" width="62.140625" customWidth="1"/>
    <col min="17" max="17" width="6" bestFit="1" customWidth="1"/>
    <col min="18" max="18" width="4.7109375" bestFit="1" customWidth="1"/>
    <col min="19" max="19" width="12.42578125" bestFit="1" customWidth="1"/>
    <col min="20" max="20" width="11.28515625" bestFit="1" customWidth="1"/>
  </cols>
  <sheetData>
    <row r="1" spans="2:13" ht="18">
      <c r="B1" s="583" t="s">
        <v>36</v>
      </c>
      <c r="C1" s="584"/>
      <c r="D1" s="584"/>
      <c r="E1" s="584"/>
      <c r="F1" s="584"/>
      <c r="G1" s="584"/>
      <c r="H1" s="584"/>
      <c r="I1" s="584"/>
      <c r="J1" s="584"/>
      <c r="K1" s="584"/>
      <c r="L1" s="9"/>
      <c r="M1" s="9"/>
    </row>
    <row r="2" spans="2:13" ht="13.5" customHeight="1" thickBot="1"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2:13" ht="13.5" thickBot="1">
      <c r="B3" s="10"/>
      <c r="C3" s="585" t="s">
        <v>0</v>
      </c>
      <c r="D3" s="585"/>
      <c r="E3" s="585"/>
      <c r="F3" s="11"/>
      <c r="G3" s="12"/>
      <c r="H3" s="571" t="s">
        <v>20</v>
      </c>
      <c r="I3" s="572"/>
      <c r="J3" s="572"/>
      <c r="K3" s="573"/>
      <c r="L3" s="12"/>
      <c r="M3" s="12"/>
    </row>
    <row r="4" spans="2:13">
      <c r="B4" s="13"/>
      <c r="C4" s="14" t="s">
        <v>26</v>
      </c>
      <c r="D4" s="15">
        <v>40210</v>
      </c>
      <c r="E4" s="15">
        <f>E30</f>
        <v>43831</v>
      </c>
      <c r="F4" s="16" t="s">
        <v>19</v>
      </c>
      <c r="G4" s="12"/>
      <c r="H4" s="17" t="s">
        <v>26</v>
      </c>
      <c r="I4" s="15">
        <v>40210</v>
      </c>
      <c r="J4" s="15">
        <f>E30</f>
        <v>43831</v>
      </c>
      <c r="K4" s="16">
        <f>E30</f>
        <v>43831</v>
      </c>
      <c r="L4" s="12"/>
      <c r="M4" s="12"/>
    </row>
    <row r="5" spans="2:13" ht="13.5" thickBot="1">
      <c r="B5" s="18"/>
      <c r="C5" s="19" t="s">
        <v>27</v>
      </c>
      <c r="D5" s="20">
        <v>163.10900000000001</v>
      </c>
      <c r="E5" s="27">
        <f>E31</f>
        <v>240.929</v>
      </c>
      <c r="F5" s="22" t="s">
        <v>198</v>
      </c>
      <c r="G5" s="12"/>
      <c r="H5" s="23" t="s">
        <v>27</v>
      </c>
      <c r="I5" s="20">
        <v>163.10900000000001</v>
      </c>
      <c r="J5" s="21">
        <f>E31</f>
        <v>240.929</v>
      </c>
      <c r="K5" s="22">
        <f>J5</f>
        <v>240.929</v>
      </c>
      <c r="L5" s="12"/>
      <c r="M5" s="12"/>
    </row>
    <row r="6" spans="2:13" ht="13.5" thickBot="1">
      <c r="B6" s="24"/>
      <c r="C6" s="25" t="s">
        <v>44</v>
      </c>
      <c r="D6" s="26"/>
      <c r="E6" s="27">
        <f>E5/D5</f>
        <v>1.4771042676982875</v>
      </c>
      <c r="F6" s="28"/>
      <c r="G6" s="12"/>
      <c r="H6" s="29" t="s">
        <v>44</v>
      </c>
      <c r="I6" s="30"/>
      <c r="J6" s="31">
        <f>J5/I5</f>
        <v>1.4771042676982875</v>
      </c>
      <c r="K6" s="32">
        <f>K5/I5</f>
        <v>1.4771042676982875</v>
      </c>
      <c r="L6" s="12"/>
      <c r="M6" s="12"/>
    </row>
    <row r="7" spans="2:13">
      <c r="B7" s="33" t="s">
        <v>1</v>
      </c>
      <c r="C7" s="34" t="s">
        <v>1</v>
      </c>
      <c r="D7" s="34" t="s">
        <v>15</v>
      </c>
      <c r="E7" s="34" t="s">
        <v>15</v>
      </c>
      <c r="F7" s="35"/>
      <c r="G7" s="12"/>
      <c r="H7" s="33" t="s">
        <v>21</v>
      </c>
      <c r="I7" s="34" t="s">
        <v>22</v>
      </c>
      <c r="J7" s="34" t="s">
        <v>22</v>
      </c>
      <c r="K7" s="35" t="s">
        <v>23</v>
      </c>
      <c r="L7" s="12"/>
      <c r="M7" s="12"/>
    </row>
    <row r="8" spans="2:13">
      <c r="B8" s="127" t="s">
        <v>39</v>
      </c>
      <c r="C8" s="36" t="s">
        <v>111</v>
      </c>
      <c r="D8" s="223">
        <v>14340.81</v>
      </c>
      <c r="E8" s="301">
        <f>D8*$E$6</f>
        <v>21182.871653250277</v>
      </c>
      <c r="F8" s="38">
        <f>E8/22</f>
        <v>962.85780242046712</v>
      </c>
      <c r="G8" s="39"/>
      <c r="H8" s="40" t="s">
        <v>112</v>
      </c>
      <c r="I8" s="41">
        <v>2278.9499999999998</v>
      </c>
      <c r="J8" s="37">
        <f>I8*$J$6</f>
        <v>3366.2467708710119</v>
      </c>
      <c r="K8" s="38">
        <f>J8/30</f>
        <v>112.20822569570039</v>
      </c>
      <c r="L8" s="39"/>
      <c r="M8" s="39"/>
    </row>
    <row r="9" spans="2:13">
      <c r="B9" s="127" t="s">
        <v>99</v>
      </c>
      <c r="C9" s="36" t="s">
        <v>2</v>
      </c>
      <c r="D9" s="223">
        <v>12462.45</v>
      </c>
      <c r="E9" s="301">
        <f t="shared" ref="E9:E23" si="0">D9*$E$6</f>
        <v>18408.338080976526</v>
      </c>
      <c r="F9" s="38">
        <f t="shared" ref="F9:F23" si="1">E9/22</f>
        <v>836.74264004438749</v>
      </c>
      <c r="G9" s="39"/>
      <c r="H9" s="42" t="s">
        <v>113</v>
      </c>
      <c r="I9" s="43">
        <v>2411.4</v>
      </c>
      <c r="J9" s="37">
        <f>I9*$J$6</f>
        <v>3561.8892311276504</v>
      </c>
      <c r="K9" s="38">
        <f>J9/30</f>
        <v>118.72964103758835</v>
      </c>
      <c r="L9" s="39"/>
      <c r="M9" s="39"/>
    </row>
    <row r="10" spans="2:13">
      <c r="B10" s="127" t="s">
        <v>100</v>
      </c>
      <c r="C10" s="36" t="s">
        <v>3</v>
      </c>
      <c r="D10" s="223">
        <v>9819.94</v>
      </c>
      <c r="E10" s="301">
        <f t="shared" si="0"/>
        <v>14505.075282541122</v>
      </c>
      <c r="F10" s="38">
        <f t="shared" si="1"/>
        <v>659.32160375186913</v>
      </c>
      <c r="G10" s="39"/>
      <c r="H10" s="42" t="s">
        <v>114</v>
      </c>
      <c r="I10" s="43">
        <v>3407.03</v>
      </c>
      <c r="J10" s="37">
        <f>I10*$J$6</f>
        <v>5032.5385531760967</v>
      </c>
      <c r="K10" s="38">
        <f>J10/30</f>
        <v>167.7512851058699</v>
      </c>
      <c r="L10" s="39"/>
      <c r="M10" s="39"/>
    </row>
    <row r="11" spans="2:13">
      <c r="B11" s="127" t="s">
        <v>101</v>
      </c>
      <c r="C11" s="36" t="s">
        <v>4</v>
      </c>
      <c r="D11" s="223">
        <v>7682.38</v>
      </c>
      <c r="E11" s="301">
        <f t="shared" si="0"/>
        <v>11347.676284079969</v>
      </c>
      <c r="F11" s="38">
        <f t="shared" si="1"/>
        <v>515.80346745818042</v>
      </c>
      <c r="G11" s="39"/>
      <c r="H11" s="42" t="s">
        <v>115</v>
      </c>
      <c r="I11" s="43">
        <v>4468.55</v>
      </c>
      <c r="J11" s="37">
        <f>I11*$J$6</f>
        <v>6600.5142754231829</v>
      </c>
      <c r="K11" s="38">
        <f>J11/30</f>
        <v>220.0171425141061</v>
      </c>
      <c r="L11" s="39"/>
      <c r="M11" s="39"/>
    </row>
    <row r="12" spans="2:13" ht="13.5" thickBot="1">
      <c r="B12" s="127" t="s">
        <v>102</v>
      </c>
      <c r="C12" s="36" t="s">
        <v>5</v>
      </c>
      <c r="D12" s="224">
        <v>6320.35</v>
      </c>
      <c r="E12" s="301">
        <f>D12*$E$6</f>
        <v>9335.8159583468714</v>
      </c>
      <c r="F12" s="38">
        <f t="shared" si="1"/>
        <v>424.35527083394868</v>
      </c>
      <c r="G12" s="39"/>
      <c r="H12" s="44" t="s">
        <v>116</v>
      </c>
      <c r="I12" s="45">
        <v>7657.59</v>
      </c>
      <c r="J12" s="46">
        <f>I12*$J$6</f>
        <v>11311.05886928373</v>
      </c>
      <c r="K12" s="47">
        <f>J12/30</f>
        <v>377.03529564279103</v>
      </c>
      <c r="L12" s="39"/>
      <c r="M12" s="39"/>
    </row>
    <row r="13" spans="2:13" ht="13.5" thickBot="1">
      <c r="B13" s="127" t="s">
        <v>103</v>
      </c>
      <c r="C13" s="36" t="s">
        <v>6</v>
      </c>
      <c r="D13" s="223">
        <v>4590</v>
      </c>
      <c r="E13" s="301">
        <v>8882.5</v>
      </c>
      <c r="F13" s="38">
        <f t="shared" si="1"/>
        <v>403.75</v>
      </c>
      <c r="G13" s="39"/>
      <c r="H13" s="39"/>
      <c r="I13" s="39"/>
      <c r="J13" s="39"/>
      <c r="K13" s="39"/>
      <c r="L13" s="39"/>
      <c r="M13" s="39"/>
    </row>
    <row r="14" spans="2:13" ht="13.5" thickBot="1">
      <c r="B14" s="127" t="s">
        <v>104</v>
      </c>
      <c r="C14" s="36" t="s">
        <v>7</v>
      </c>
      <c r="D14" s="223">
        <v>4451.99</v>
      </c>
      <c r="E14" s="301">
        <f t="shared" si="0"/>
        <v>6576.0534287500986</v>
      </c>
      <c r="F14" s="38">
        <f t="shared" si="1"/>
        <v>298.91151948864086</v>
      </c>
      <c r="G14" s="39"/>
      <c r="H14" s="571" t="s">
        <v>24</v>
      </c>
      <c r="I14" s="586"/>
      <c r="J14" s="572"/>
      <c r="K14" s="573"/>
      <c r="L14" s="39"/>
      <c r="M14" s="39"/>
    </row>
    <row r="15" spans="2:13">
      <c r="B15" s="127" t="s">
        <v>105</v>
      </c>
      <c r="C15" s="36" t="s">
        <v>8</v>
      </c>
      <c r="D15" s="223">
        <v>3395.63</v>
      </c>
      <c r="E15" s="301">
        <f t="shared" si="0"/>
        <v>5015.699564524336</v>
      </c>
      <c r="F15" s="38">
        <f t="shared" si="1"/>
        <v>227.98634384201526</v>
      </c>
      <c r="G15" s="39"/>
      <c r="H15" s="48" t="s">
        <v>21</v>
      </c>
      <c r="I15" s="49" t="s">
        <v>22</v>
      </c>
      <c r="J15" s="49" t="s">
        <v>22</v>
      </c>
      <c r="K15" s="50" t="s">
        <v>23</v>
      </c>
      <c r="L15" s="39"/>
      <c r="M15" s="39"/>
    </row>
    <row r="16" spans="2:13">
      <c r="B16" s="127" t="s">
        <v>106</v>
      </c>
      <c r="C16" s="36" t="s">
        <v>9</v>
      </c>
      <c r="D16" s="223">
        <v>2567.9499999999998</v>
      </c>
      <c r="E16" s="301">
        <f t="shared" si="0"/>
        <v>3793.1299042358173</v>
      </c>
      <c r="F16" s="38">
        <f t="shared" si="1"/>
        <v>172.41499564708261</v>
      </c>
      <c r="G16" s="39"/>
      <c r="H16" s="51" t="s">
        <v>117</v>
      </c>
      <c r="I16" s="52">
        <v>1259.26</v>
      </c>
      <c r="J16" s="37">
        <f>J5/D5*I16</f>
        <v>1860.0583201417455</v>
      </c>
      <c r="K16" s="38">
        <f t="shared" ref="K16:K22" si="2">J16/30</f>
        <v>62.001944004724848</v>
      </c>
      <c r="L16" s="39"/>
      <c r="M16" s="39"/>
    </row>
    <row r="17" spans="2:13">
      <c r="B17" s="127" t="s">
        <v>107</v>
      </c>
      <c r="C17" s="36" t="s">
        <v>16</v>
      </c>
      <c r="D17" s="223">
        <v>2061.13</v>
      </c>
      <c r="E17" s="301">
        <f t="shared" si="0"/>
        <v>3044.5039192809713</v>
      </c>
      <c r="F17" s="38">
        <f t="shared" si="1"/>
        <v>138.38654178549871</v>
      </c>
      <c r="G17" s="39"/>
      <c r="H17" s="40" t="s">
        <v>67</v>
      </c>
      <c r="I17" s="52">
        <v>221.27</v>
      </c>
      <c r="J17" s="37">
        <f>J5/D5*I17</f>
        <v>326.83886131360009</v>
      </c>
      <c r="K17" s="38">
        <f t="shared" si="2"/>
        <v>10.894628710453336</v>
      </c>
      <c r="L17" s="39"/>
      <c r="M17" s="39"/>
    </row>
    <row r="18" spans="2:13" ht="12.75" customHeight="1">
      <c r="B18" s="127" t="s">
        <v>108</v>
      </c>
      <c r="C18" s="36" t="s">
        <v>10</v>
      </c>
      <c r="D18" s="223">
        <v>1539.79</v>
      </c>
      <c r="E18" s="301">
        <f t="shared" si="0"/>
        <v>2274.4303803591461</v>
      </c>
      <c r="F18" s="38">
        <f t="shared" si="1"/>
        <v>103.38319910723391</v>
      </c>
      <c r="G18" s="39"/>
      <c r="H18" s="53" t="s">
        <v>118</v>
      </c>
      <c r="I18" s="52">
        <v>9182.69</v>
      </c>
      <c r="J18" s="37">
        <f>J5/D5*I18</f>
        <v>13563.790587950389</v>
      </c>
      <c r="K18" s="38">
        <f t="shared" si="2"/>
        <v>452.12635293167961</v>
      </c>
      <c r="L18" s="39"/>
      <c r="M18" s="39"/>
    </row>
    <row r="19" spans="2:13">
      <c r="B19" s="127" t="s">
        <v>109</v>
      </c>
      <c r="C19" s="36" t="s">
        <v>11</v>
      </c>
      <c r="D19" s="223">
        <v>3567.02</v>
      </c>
      <c r="E19" s="301">
        <f t="shared" si="0"/>
        <v>5268.8604649651452</v>
      </c>
      <c r="F19" s="38">
        <f t="shared" si="1"/>
        <v>239.4936574984157</v>
      </c>
      <c r="G19" s="39"/>
      <c r="H19" s="51" t="s">
        <v>119</v>
      </c>
      <c r="I19" s="52">
        <v>5773.32</v>
      </c>
      <c r="J19" s="37">
        <f>J5/D5*I19</f>
        <v>8527.7956107878763</v>
      </c>
      <c r="K19" s="38">
        <f t="shared" si="2"/>
        <v>284.2598536929292</v>
      </c>
      <c r="L19" s="39"/>
      <c r="M19" s="39"/>
    </row>
    <row r="20" spans="2:13">
      <c r="B20" s="127" t="s">
        <v>47</v>
      </c>
      <c r="C20" s="36" t="s">
        <v>12</v>
      </c>
      <c r="D20" s="223">
        <v>2142.04</v>
      </c>
      <c r="E20" s="301">
        <f t="shared" si="0"/>
        <v>3164.0164255804398</v>
      </c>
      <c r="F20" s="38">
        <f t="shared" si="1"/>
        <v>143.81892843547453</v>
      </c>
      <c r="G20" s="39"/>
      <c r="H20" s="51" t="s">
        <v>120</v>
      </c>
      <c r="I20" s="52">
        <v>1786.38</v>
      </c>
      <c r="J20" s="37">
        <f>J5/D5*I20</f>
        <v>2638.669521730867</v>
      </c>
      <c r="K20" s="38">
        <f t="shared" si="2"/>
        <v>87.955650724362229</v>
      </c>
      <c r="L20" s="39"/>
      <c r="M20" s="39"/>
    </row>
    <row r="21" spans="2:13" ht="13.5" customHeight="1">
      <c r="B21" s="128" t="s">
        <v>110</v>
      </c>
      <c r="C21" s="36" t="s">
        <v>13</v>
      </c>
      <c r="D21" s="223">
        <v>1383.94</v>
      </c>
      <c r="E21" s="301">
        <f t="shared" si="0"/>
        <v>2044.2236802383682</v>
      </c>
      <c r="F21" s="38">
        <f t="shared" si="1"/>
        <v>92.919258192653103</v>
      </c>
      <c r="G21" s="39"/>
      <c r="H21" s="51" t="s">
        <v>121</v>
      </c>
      <c r="I21" s="52">
        <v>2760.76</v>
      </c>
      <c r="J21" s="37">
        <f>J5/D5*I21</f>
        <v>4077.9303780907244</v>
      </c>
      <c r="K21" s="38">
        <f t="shared" si="2"/>
        <v>135.93101260302416</v>
      </c>
      <c r="L21" s="39"/>
      <c r="M21" s="39"/>
    </row>
    <row r="22" spans="2:13" ht="15" customHeight="1" thickBot="1">
      <c r="B22" s="127" t="s">
        <v>40</v>
      </c>
      <c r="C22" s="36" t="s">
        <v>17</v>
      </c>
      <c r="D22" s="223">
        <v>1206.48</v>
      </c>
      <c r="E22" s="301">
        <f t="shared" si="0"/>
        <v>1782.0967568926299</v>
      </c>
      <c r="F22" s="38">
        <f t="shared" si="1"/>
        <v>81.004398040574088</v>
      </c>
      <c r="G22" s="39"/>
      <c r="H22" s="54" t="s">
        <v>122</v>
      </c>
      <c r="I22" s="55">
        <v>2192.37</v>
      </c>
      <c r="J22" s="46">
        <f>J5/D5*I22</f>
        <v>3238.3590833736944</v>
      </c>
      <c r="K22" s="47">
        <f t="shared" si="2"/>
        <v>107.94530277912314</v>
      </c>
      <c r="L22" s="39"/>
      <c r="M22" s="39"/>
    </row>
    <row r="23" spans="2:13" ht="13.5" thickBot="1">
      <c r="B23" s="129" t="s">
        <v>41</v>
      </c>
      <c r="C23" s="130" t="s">
        <v>18</v>
      </c>
      <c r="D23" s="225">
        <v>1229.6199999999999</v>
      </c>
      <c r="E23" s="360">
        <f t="shared" si="0"/>
        <v>1816.2769496471681</v>
      </c>
      <c r="F23" s="47">
        <f t="shared" si="1"/>
        <v>82.558043165780362</v>
      </c>
      <c r="G23" s="39"/>
      <c r="H23" s="39"/>
      <c r="I23" s="39"/>
      <c r="J23" s="39"/>
      <c r="K23" s="39"/>
      <c r="L23" s="39"/>
      <c r="M23" s="39"/>
    </row>
    <row r="24" spans="2:13" ht="13.5" thickBot="1">
      <c r="B24" s="115"/>
      <c r="C24" s="57"/>
      <c r="D24" s="60"/>
      <c r="E24" s="116"/>
      <c r="F24" s="116"/>
      <c r="G24" s="39"/>
      <c r="H24" s="569" t="s">
        <v>25</v>
      </c>
      <c r="I24" s="570"/>
      <c r="J24" s="56"/>
      <c r="K24" s="57"/>
      <c r="L24" s="39"/>
      <c r="M24" s="39"/>
    </row>
    <row r="25" spans="2:13" ht="13.5" thickBot="1">
      <c r="B25" s="58"/>
      <c r="C25" s="59"/>
      <c r="D25" s="60"/>
      <c r="E25" s="59"/>
      <c r="F25" s="59"/>
      <c r="G25" s="39"/>
      <c r="H25" s="48" t="s">
        <v>21</v>
      </c>
      <c r="I25" s="50" t="s">
        <v>15</v>
      </c>
      <c r="J25" s="57"/>
      <c r="K25" s="57"/>
      <c r="L25" s="39"/>
      <c r="M25" s="39"/>
    </row>
    <row r="26" spans="2:13">
      <c r="B26" s="581" t="s">
        <v>123</v>
      </c>
      <c r="C26" s="582"/>
      <c r="D26" s="582"/>
      <c r="E26" s="131"/>
      <c r="F26" s="132"/>
      <c r="G26" s="39"/>
      <c r="H26" s="361" t="s">
        <v>18</v>
      </c>
      <c r="I26" s="38">
        <v>0.3</v>
      </c>
      <c r="J26" s="39"/>
      <c r="K26" s="39"/>
      <c r="L26" s="39"/>
      <c r="M26" s="39"/>
    </row>
    <row r="27" spans="2:13" ht="49.5" customHeight="1" thickBot="1">
      <c r="B27" s="133" t="s">
        <v>124</v>
      </c>
      <c r="C27" s="134" t="s">
        <v>145</v>
      </c>
      <c r="D27" s="577" t="s">
        <v>580</v>
      </c>
      <c r="E27" s="577"/>
      <c r="F27" s="578"/>
      <c r="G27" s="123"/>
      <c r="H27" s="362" t="s">
        <v>13</v>
      </c>
      <c r="I27" s="47">
        <v>5</v>
      </c>
      <c r="J27" s="39"/>
      <c r="K27" s="39"/>
      <c r="L27" s="39"/>
      <c r="M27" s="39"/>
    </row>
    <row r="28" spans="2:13" ht="30" customHeight="1" thickBot="1">
      <c r="B28" s="133" t="s">
        <v>125</v>
      </c>
      <c r="C28" s="59"/>
      <c r="D28" s="577" t="s">
        <v>581</v>
      </c>
      <c r="E28" s="577"/>
      <c r="F28" s="578"/>
      <c r="G28" s="124"/>
      <c r="H28" s="362" t="s">
        <v>77</v>
      </c>
      <c r="I28" s="47">
        <v>2.13</v>
      </c>
      <c r="J28" s="39"/>
      <c r="K28" s="39"/>
      <c r="L28" s="39"/>
      <c r="M28" s="39"/>
    </row>
    <row r="29" spans="2:13" ht="29.25" customHeight="1" thickBot="1">
      <c r="B29" s="133" t="s">
        <v>126</v>
      </c>
      <c r="C29" s="59"/>
      <c r="D29" s="579"/>
      <c r="E29" s="579"/>
      <c r="F29" s="580"/>
      <c r="G29" s="124"/>
      <c r="H29" s="39"/>
      <c r="I29" s="39"/>
      <c r="J29" s="39"/>
      <c r="K29" s="39"/>
      <c r="L29" s="39"/>
      <c r="M29" s="39"/>
    </row>
    <row r="30" spans="2:13" ht="23.25" thickBot="1">
      <c r="B30" s="133" t="s">
        <v>127</v>
      </c>
      <c r="C30" s="134" t="s">
        <v>42</v>
      </c>
      <c r="D30" s="134"/>
      <c r="E30" s="135">
        <v>43831</v>
      </c>
      <c r="F30" s="136"/>
      <c r="G30" s="39"/>
      <c r="H30" s="571" t="s">
        <v>28</v>
      </c>
      <c r="I30" s="572"/>
      <c r="J30" s="572"/>
      <c r="K30" s="573"/>
      <c r="L30" s="39"/>
      <c r="M30" s="39"/>
    </row>
    <row r="31" spans="2:13" ht="22.5">
      <c r="B31" s="133" t="s">
        <v>128</v>
      </c>
      <c r="C31" s="134" t="s">
        <v>43</v>
      </c>
      <c r="D31" s="134"/>
      <c r="E31" s="137">
        <v>240.929</v>
      </c>
      <c r="F31" s="136"/>
      <c r="G31" s="39"/>
      <c r="H31" s="33" t="s">
        <v>21</v>
      </c>
      <c r="I31" s="34" t="s">
        <v>22</v>
      </c>
      <c r="J31" s="34" t="s">
        <v>22</v>
      </c>
      <c r="K31" s="35" t="s">
        <v>23</v>
      </c>
      <c r="L31" s="39"/>
      <c r="M31" s="39"/>
    </row>
    <row r="32" spans="2:13" ht="22.5">
      <c r="B32" s="133" t="s">
        <v>129</v>
      </c>
      <c r="C32" s="134"/>
      <c r="D32" s="59"/>
      <c r="E32" s="59"/>
      <c r="F32" s="136"/>
      <c r="G32" s="39"/>
      <c r="H32" s="51" t="s">
        <v>66</v>
      </c>
      <c r="I32" s="52">
        <v>1279.3399999999999</v>
      </c>
      <c r="J32" s="37">
        <f>J5/D5*I32</f>
        <v>1889.718573837127</v>
      </c>
      <c r="K32" s="38">
        <f>J32/30</f>
        <v>62.990619127904232</v>
      </c>
      <c r="L32" s="39"/>
      <c r="M32" s="39"/>
    </row>
    <row r="33" spans="2:13" ht="22.5">
      <c r="B33" s="133" t="s">
        <v>130</v>
      </c>
      <c r="C33" s="138"/>
      <c r="D33" s="134"/>
      <c r="E33" s="56"/>
      <c r="F33" s="136"/>
      <c r="G33" s="39"/>
      <c r="H33" s="51" t="s">
        <v>131</v>
      </c>
      <c r="I33" s="52">
        <v>1467.32</v>
      </c>
      <c r="J33" s="37">
        <f>J5/D5*I33</f>
        <v>2167.384634079051</v>
      </c>
      <c r="K33" s="38">
        <f>J33/30</f>
        <v>72.2461544693017</v>
      </c>
      <c r="L33" s="39"/>
      <c r="M33" s="39"/>
    </row>
    <row r="34" spans="2:13" ht="23.25" thickBot="1">
      <c r="B34" s="133" t="s">
        <v>132</v>
      </c>
      <c r="C34" s="138"/>
      <c r="D34" s="134"/>
      <c r="E34" s="56"/>
      <c r="F34" s="136"/>
      <c r="G34" s="39"/>
      <c r="H34" s="54" t="s">
        <v>133</v>
      </c>
      <c r="I34" s="55">
        <v>1283.9000000000001</v>
      </c>
      <c r="J34" s="46">
        <f>J5/D5*I34</f>
        <v>1896.4541692978314</v>
      </c>
      <c r="K34" s="47">
        <f>J34/30</f>
        <v>63.215138976594382</v>
      </c>
      <c r="L34" s="39"/>
      <c r="M34" s="39"/>
    </row>
    <row r="35" spans="2:13" ht="23.25" thickBot="1">
      <c r="B35" s="133" t="s">
        <v>134</v>
      </c>
      <c r="C35" s="138"/>
      <c r="D35" s="59"/>
      <c r="E35" s="59"/>
      <c r="F35" s="136"/>
      <c r="G35" s="39"/>
      <c r="H35" s="39"/>
      <c r="I35" s="39"/>
      <c r="J35" s="39"/>
      <c r="K35" s="39"/>
      <c r="L35" s="39"/>
      <c r="M35" s="39"/>
    </row>
    <row r="36" spans="2:13" ht="23.25" thickBot="1">
      <c r="B36" s="133" t="s">
        <v>135</v>
      </c>
      <c r="C36" s="138"/>
      <c r="D36" s="134"/>
      <c r="E36" s="116"/>
      <c r="F36" s="136"/>
      <c r="G36" s="39"/>
      <c r="H36" s="571" t="s">
        <v>29</v>
      </c>
      <c r="I36" s="572"/>
      <c r="J36" s="572"/>
      <c r="K36" s="573"/>
      <c r="L36" s="39"/>
      <c r="M36" s="39"/>
    </row>
    <row r="37" spans="2:13" ht="28.5" customHeight="1">
      <c r="B37" s="133" t="s">
        <v>136</v>
      </c>
      <c r="C37" s="139"/>
      <c r="D37" s="134"/>
      <c r="E37" s="116"/>
      <c r="F37" s="136"/>
      <c r="G37" s="39"/>
      <c r="H37" s="48" t="s">
        <v>21</v>
      </c>
      <c r="I37" s="49" t="s">
        <v>22</v>
      </c>
      <c r="J37" s="49" t="s">
        <v>22</v>
      </c>
      <c r="K37" s="50" t="s">
        <v>23</v>
      </c>
      <c r="L37" s="39"/>
      <c r="M37" s="39"/>
    </row>
    <row r="38" spans="2:13" ht="22.5">
      <c r="B38" s="133" t="s">
        <v>137</v>
      </c>
      <c r="C38" s="139"/>
      <c r="D38" s="134"/>
      <c r="E38" s="116"/>
      <c r="F38" s="136"/>
      <c r="G38" s="39"/>
      <c r="H38" s="51" t="s">
        <v>138</v>
      </c>
      <c r="I38" s="61">
        <v>550.22</v>
      </c>
      <c r="J38" s="333">
        <f>J5/I5 *I38</f>
        <v>812.73231017295177</v>
      </c>
      <c r="K38" s="38">
        <f>J38/30</f>
        <v>27.091077005765058</v>
      </c>
      <c r="L38" s="39"/>
      <c r="M38" s="39"/>
    </row>
    <row r="39" spans="2:13" ht="13.5" thickBot="1">
      <c r="B39" s="140"/>
      <c r="C39" s="139"/>
      <c r="D39" s="134"/>
      <c r="E39" s="116"/>
      <c r="F39" s="136"/>
      <c r="G39" s="39"/>
      <c r="H39" s="54" t="s">
        <v>133</v>
      </c>
      <c r="I39" s="62">
        <v>458.53</v>
      </c>
      <c r="J39" s="374">
        <f>J5/I5 *I39</f>
        <v>677.29661986769577</v>
      </c>
      <c r="K39" s="47">
        <f>J39/30</f>
        <v>22.576553995589858</v>
      </c>
      <c r="L39" s="39"/>
      <c r="M39" s="39"/>
    </row>
    <row r="40" spans="2:13" ht="13.5" thickBot="1">
      <c r="B40" s="141"/>
      <c r="C40" s="142"/>
      <c r="D40" s="59"/>
      <c r="E40" s="59"/>
      <c r="F40" s="136"/>
      <c r="G40" s="39"/>
      <c r="H40" s="39"/>
      <c r="I40" s="39"/>
      <c r="J40" s="39"/>
      <c r="K40" s="39"/>
      <c r="L40" s="39"/>
      <c r="M40" s="39"/>
    </row>
    <row r="41" spans="2:13">
      <c r="B41" s="141"/>
      <c r="C41" s="139"/>
      <c r="D41" s="134"/>
      <c r="E41" s="56"/>
      <c r="F41" s="143"/>
      <c r="G41" s="9"/>
      <c r="H41" s="574" t="s">
        <v>24</v>
      </c>
      <c r="I41" s="575"/>
      <c r="J41" s="575"/>
      <c r="K41" s="576"/>
      <c r="L41" s="9"/>
      <c r="M41" s="9"/>
    </row>
    <row r="42" spans="2:13">
      <c r="B42" s="144"/>
      <c r="C42" s="145"/>
      <c r="D42" s="146"/>
      <c r="E42" s="147"/>
      <c r="F42" s="143"/>
      <c r="G42" s="9"/>
      <c r="H42" s="153" t="s">
        <v>21</v>
      </c>
      <c r="I42" s="63" t="s">
        <v>26</v>
      </c>
      <c r="J42" s="63" t="s">
        <v>26</v>
      </c>
      <c r="K42" s="114" t="s">
        <v>23</v>
      </c>
      <c r="L42" s="9"/>
      <c r="M42" s="9"/>
    </row>
    <row r="43" spans="2:13" ht="13.5" thickBot="1">
      <c r="B43" s="144"/>
      <c r="C43" s="138"/>
      <c r="D43" s="146"/>
      <c r="E43" s="222"/>
      <c r="F43" s="143"/>
      <c r="G43" s="9"/>
      <c r="H43" s="54" t="s">
        <v>67</v>
      </c>
      <c r="I43" s="55">
        <v>221.27</v>
      </c>
      <c r="J43" s="154">
        <f>J5/D5*I43</f>
        <v>326.83886131360009</v>
      </c>
      <c r="K43" s="155">
        <f>J43/30</f>
        <v>10.894628710453336</v>
      </c>
      <c r="L43" s="9"/>
      <c r="M43" s="9"/>
    </row>
    <row r="44" spans="2:13" ht="13.5" thickBot="1">
      <c r="B44" s="148"/>
      <c r="C44" s="149"/>
      <c r="D44" s="150"/>
      <c r="E44" s="151"/>
      <c r="F44" s="152"/>
      <c r="G44" s="9"/>
      <c r="H44" s="9"/>
      <c r="I44" s="9"/>
      <c r="J44" s="9"/>
      <c r="K44" s="9"/>
      <c r="L44" s="9"/>
      <c r="M44" s="9"/>
    </row>
    <row r="45" spans="2:13">
      <c r="B45" s="9"/>
      <c r="C45" s="96"/>
      <c r="D45" s="9"/>
      <c r="E45" s="121"/>
      <c r="F45" s="9"/>
      <c r="G45" s="9"/>
      <c r="H45" s="563" t="s">
        <v>78</v>
      </c>
      <c r="I45" s="564"/>
      <c r="J45" s="564"/>
      <c r="K45" s="564"/>
      <c r="L45" s="564"/>
      <c r="M45" s="565"/>
    </row>
    <row r="46" spans="2:13">
      <c r="B46" s="9"/>
      <c r="C46" s="120"/>
      <c r="D46" s="9"/>
      <c r="E46" s="121"/>
      <c r="F46" s="9"/>
      <c r="G46" s="9"/>
      <c r="H46" s="566" t="s">
        <v>56</v>
      </c>
      <c r="I46" s="567" t="s">
        <v>79</v>
      </c>
      <c r="J46" s="567"/>
      <c r="K46" s="567"/>
      <c r="L46" s="567"/>
      <c r="M46" s="156"/>
    </row>
    <row r="47" spans="2:13">
      <c r="B47" s="9"/>
      <c r="C47" s="120"/>
      <c r="D47" s="9"/>
      <c r="E47" s="121"/>
      <c r="F47" s="9"/>
      <c r="G47" s="9"/>
      <c r="H47" s="566"/>
      <c r="I47" s="332" t="s">
        <v>80</v>
      </c>
      <c r="J47" s="568" t="s">
        <v>81</v>
      </c>
      <c r="K47" s="568"/>
      <c r="L47" s="332" t="s">
        <v>82</v>
      </c>
      <c r="M47" s="157" t="s">
        <v>83</v>
      </c>
    </row>
    <row r="48" spans="2:13">
      <c r="B48" s="544" t="s">
        <v>258</v>
      </c>
      <c r="C48" s="545"/>
      <c r="D48" s="9"/>
      <c r="E48" s="121"/>
      <c r="F48" s="9"/>
      <c r="G48" s="9"/>
      <c r="H48" s="158" t="s">
        <v>144</v>
      </c>
      <c r="I48" s="65">
        <v>267.89999999999998</v>
      </c>
      <c r="J48" s="556">
        <v>253.8</v>
      </c>
      <c r="K48" s="557"/>
      <c r="L48" s="65">
        <v>239.7</v>
      </c>
      <c r="M48" s="159">
        <v>211.5</v>
      </c>
    </row>
    <row r="49" spans="2:13">
      <c r="B49" s="369" t="s">
        <v>21</v>
      </c>
      <c r="C49" s="369" t="s">
        <v>259</v>
      </c>
      <c r="D49" s="9"/>
      <c r="E49" s="121"/>
      <c r="F49" s="9"/>
      <c r="G49" s="9"/>
      <c r="H49" s="158" t="s">
        <v>84</v>
      </c>
      <c r="I49" s="65">
        <v>224.2</v>
      </c>
      <c r="J49" s="556">
        <v>212.4</v>
      </c>
      <c r="K49" s="557"/>
      <c r="L49" s="65">
        <v>200.6</v>
      </c>
      <c r="M49" s="159">
        <v>177</v>
      </c>
    </row>
    <row r="50" spans="2:13" ht="13.5" thickBot="1">
      <c r="B50" s="370" t="s">
        <v>260</v>
      </c>
      <c r="C50" s="375">
        <v>1500</v>
      </c>
      <c r="D50" s="232"/>
      <c r="E50" s="233"/>
      <c r="F50" s="9"/>
      <c r="G50" s="9"/>
      <c r="H50" s="160" t="s">
        <v>85</v>
      </c>
      <c r="I50" s="161">
        <v>224.2</v>
      </c>
      <c r="J50" s="558">
        <v>212.4</v>
      </c>
      <c r="K50" s="559"/>
      <c r="L50" s="161">
        <v>200.6</v>
      </c>
      <c r="M50" s="162">
        <v>177</v>
      </c>
    </row>
    <row r="51" spans="2:13">
      <c r="B51" s="370" t="s">
        <v>261</v>
      </c>
      <c r="C51" s="375">
        <v>250</v>
      </c>
      <c r="D51" s="9"/>
      <c r="E51" s="66"/>
      <c r="F51" s="9"/>
      <c r="G51" s="9"/>
      <c r="H51" s="9"/>
      <c r="I51" s="9"/>
      <c r="J51" s="9"/>
      <c r="K51" s="9"/>
      <c r="L51" s="9"/>
      <c r="M51" s="9"/>
    </row>
    <row r="52" spans="2:13">
      <c r="B52" s="370" t="s">
        <v>262</v>
      </c>
      <c r="C52" s="375">
        <v>220</v>
      </c>
      <c r="D52" s="9"/>
      <c r="E52" s="9"/>
      <c r="F52" s="9"/>
      <c r="G52" s="9"/>
      <c r="H52" s="560" t="s">
        <v>86</v>
      </c>
      <c r="I52" s="561"/>
      <c r="J52" s="561"/>
      <c r="K52" s="561"/>
      <c r="L52" s="561"/>
      <c r="M52" s="562"/>
    </row>
    <row r="53" spans="2:13" ht="13.5" thickBot="1">
      <c r="B53" s="370" t="s">
        <v>263</v>
      </c>
      <c r="C53" s="375">
        <v>80</v>
      </c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2:13">
      <c r="B54" s="9"/>
      <c r="C54" s="9"/>
      <c r="D54" s="9"/>
      <c r="E54" s="9"/>
      <c r="F54" s="9"/>
      <c r="G54" s="9"/>
      <c r="H54" s="563" t="s">
        <v>87</v>
      </c>
      <c r="I54" s="564"/>
      <c r="J54" s="564"/>
      <c r="K54" s="564"/>
      <c r="L54" s="564"/>
      <c r="M54" s="565"/>
    </row>
    <row r="55" spans="2:13">
      <c r="B55" s="9"/>
      <c r="C55" s="9"/>
      <c r="D55" s="9"/>
      <c r="E55" s="9"/>
      <c r="F55" s="9"/>
      <c r="G55" s="9"/>
      <c r="H55" s="158" t="s">
        <v>88</v>
      </c>
      <c r="I55" s="554" t="s">
        <v>89</v>
      </c>
      <c r="J55" s="554"/>
      <c r="K55" s="549" t="s">
        <v>90</v>
      </c>
      <c r="L55" s="550"/>
      <c r="M55" s="551"/>
    </row>
    <row r="56" spans="2:13">
      <c r="B56" s="9"/>
      <c r="C56" s="9"/>
      <c r="D56" s="9"/>
      <c r="E56" s="9"/>
      <c r="F56" s="9"/>
      <c r="G56" s="9"/>
      <c r="H56" s="158" t="s">
        <v>91</v>
      </c>
      <c r="I56" s="67" t="s">
        <v>92</v>
      </c>
      <c r="J56" s="67"/>
      <c r="K56" s="552" t="s">
        <v>93</v>
      </c>
      <c r="L56" s="552"/>
      <c r="M56" s="553"/>
    </row>
    <row r="57" spans="2:13">
      <c r="B57" s="9"/>
      <c r="C57" s="9"/>
      <c r="D57" s="9"/>
      <c r="E57" s="9"/>
      <c r="F57" s="9"/>
      <c r="G57" s="9"/>
      <c r="H57" s="158" t="s">
        <v>94</v>
      </c>
      <c r="I57" s="554" t="s">
        <v>95</v>
      </c>
      <c r="J57" s="554"/>
      <c r="K57" s="67" t="s">
        <v>96</v>
      </c>
      <c r="L57" s="67"/>
      <c r="M57" s="163"/>
    </row>
    <row r="58" spans="2:13" ht="13.5" thickBot="1">
      <c r="B58" s="9"/>
      <c r="C58" s="9"/>
      <c r="D58" s="9"/>
      <c r="E58" s="9"/>
      <c r="F58" s="9"/>
      <c r="G58" s="9"/>
      <c r="H58" s="160" t="s">
        <v>97</v>
      </c>
      <c r="I58" s="555" t="s">
        <v>98</v>
      </c>
      <c r="J58" s="555"/>
      <c r="K58" s="546"/>
      <c r="L58" s="547"/>
      <c r="M58" s="548"/>
    </row>
    <row r="72" spans="8:11">
      <c r="J72" s="235"/>
      <c r="K72" s="234"/>
    </row>
    <row r="73" spans="8:11">
      <c r="H73" s="113"/>
      <c r="J73" s="235"/>
      <c r="K73" s="234"/>
    </row>
    <row r="82" spans="7:8">
      <c r="G82" s="6"/>
    </row>
    <row r="83" spans="7:8" ht="16.5" customHeight="1"/>
    <row r="91" spans="7:8">
      <c r="G91" s="6"/>
    </row>
    <row r="92" spans="7:8" ht="16.5" customHeight="1"/>
    <row r="94" spans="7:8">
      <c r="G94" s="113"/>
      <c r="H94" s="113"/>
    </row>
    <row r="95" spans="7:8">
      <c r="G95" s="113"/>
      <c r="H95" s="113"/>
    </row>
    <row r="96" spans="7:8">
      <c r="G96" s="113"/>
      <c r="H96" s="113"/>
    </row>
    <row r="97" spans="7:8">
      <c r="G97" s="113"/>
      <c r="H97" s="113"/>
    </row>
    <row r="98" spans="7:8">
      <c r="G98" s="113"/>
      <c r="H98" s="113"/>
    </row>
    <row r="99" spans="7:8">
      <c r="G99" s="113"/>
      <c r="H99" s="113"/>
    </row>
    <row r="100" spans="7:8">
      <c r="G100" s="113"/>
      <c r="H100" s="113"/>
    </row>
    <row r="101" spans="7:8" ht="16.5" customHeight="1"/>
    <row r="109" spans="7:8">
      <c r="G109" s="6"/>
    </row>
    <row r="110" spans="7:8" ht="16.5" customHeight="1"/>
    <row r="119" ht="16.5" customHeight="1"/>
  </sheetData>
  <mergeCells count="28">
    <mergeCell ref="D28:F28"/>
    <mergeCell ref="D29:F29"/>
    <mergeCell ref="B26:D26"/>
    <mergeCell ref="B1:K1"/>
    <mergeCell ref="C3:E3"/>
    <mergeCell ref="H3:K3"/>
    <mergeCell ref="H14:K14"/>
    <mergeCell ref="D27:F27"/>
    <mergeCell ref="H46:H47"/>
    <mergeCell ref="I46:L46"/>
    <mergeCell ref="J47:K47"/>
    <mergeCell ref="H24:I24"/>
    <mergeCell ref="H30:K30"/>
    <mergeCell ref="H36:K36"/>
    <mergeCell ref="H41:K41"/>
    <mergeCell ref="H45:M45"/>
    <mergeCell ref="B48:C48"/>
    <mergeCell ref="K58:M58"/>
    <mergeCell ref="K55:M55"/>
    <mergeCell ref="K56:M56"/>
    <mergeCell ref="I57:J57"/>
    <mergeCell ref="I58:J58"/>
    <mergeCell ref="I55:J55"/>
    <mergeCell ref="J48:K48"/>
    <mergeCell ref="J49:K49"/>
    <mergeCell ref="J50:K50"/>
    <mergeCell ref="H52:M52"/>
    <mergeCell ref="H54:M54"/>
  </mergeCells>
  <phoneticPr fontId="18" type="noConversion"/>
  <pageMargins left="0.51181102362204722" right="0.51181102362204722" top="0.78740157480314965" bottom="0.78740157480314965" header="0.31496062992125984" footer="0.31496062992125984"/>
  <pageSetup paperSize="9" scale="48" orientation="portrait" r:id="rId1"/>
  <rowBreaks count="1" manualBreakCount="1">
    <brk id="59" min="1" max="37" man="1"/>
  </rowBreaks>
  <colBreaks count="2" manualBreakCount="2">
    <brk id="13" max="133" man="1"/>
    <brk id="26" max="133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0"/>
  <sheetViews>
    <sheetView topLeftCell="A34" workbookViewId="0">
      <selection activeCell="I53" sqref="I53"/>
    </sheetView>
  </sheetViews>
  <sheetFormatPr defaultRowHeight="12.75"/>
  <cols>
    <col min="1" max="1" width="5.140625" style="8" customWidth="1"/>
    <col min="2" max="2" width="44.140625" style="8" customWidth="1"/>
    <col min="3" max="3" width="6.5703125" style="8" customWidth="1"/>
    <col min="4" max="4" width="9.42578125" style="8" bestFit="1" customWidth="1"/>
    <col min="5" max="5" width="8" style="8" customWidth="1"/>
    <col min="6" max="6" width="8.28515625" style="8" customWidth="1"/>
    <col min="7" max="7" width="8.140625" style="8" customWidth="1"/>
    <col min="8" max="8" width="12.140625" style="8" bestFit="1" customWidth="1"/>
    <col min="9" max="9" width="15.85546875" style="8" customWidth="1"/>
    <col min="10" max="10" width="9.140625" style="8"/>
    <col min="11" max="11" width="10" style="8" bestFit="1" customWidth="1"/>
    <col min="12" max="256" width="9.140625" style="8"/>
    <col min="257" max="257" width="5.140625" style="8" customWidth="1"/>
    <col min="258" max="258" width="38.85546875" style="8" customWidth="1"/>
    <col min="259" max="259" width="6.5703125" style="8" customWidth="1"/>
    <col min="260" max="260" width="9.42578125" style="8" bestFit="1" customWidth="1"/>
    <col min="261" max="261" width="8" style="8" customWidth="1"/>
    <col min="262" max="262" width="8.28515625" style="8" customWidth="1"/>
    <col min="263" max="263" width="8.140625" style="8" customWidth="1"/>
    <col min="264" max="264" width="12.140625" style="8" bestFit="1" customWidth="1"/>
    <col min="265" max="265" width="15.85546875" style="8" customWidth="1"/>
    <col min="266" max="266" width="9.140625" style="8"/>
    <col min="267" max="267" width="10" style="8" bestFit="1" customWidth="1"/>
    <col min="268" max="512" width="9.140625" style="8"/>
    <col min="513" max="513" width="5.140625" style="8" customWidth="1"/>
    <col min="514" max="514" width="38.85546875" style="8" customWidth="1"/>
    <col min="515" max="515" width="6.5703125" style="8" customWidth="1"/>
    <col min="516" max="516" width="9.42578125" style="8" bestFit="1" customWidth="1"/>
    <col min="517" max="517" width="8" style="8" customWidth="1"/>
    <col min="518" max="518" width="8.28515625" style="8" customWidth="1"/>
    <col min="519" max="519" width="8.140625" style="8" customWidth="1"/>
    <col min="520" max="520" width="12.140625" style="8" bestFit="1" customWidth="1"/>
    <col min="521" max="521" width="15.85546875" style="8" customWidth="1"/>
    <col min="522" max="522" width="9.140625" style="8"/>
    <col min="523" max="523" width="10" style="8" bestFit="1" customWidth="1"/>
    <col min="524" max="768" width="9.140625" style="8"/>
    <col min="769" max="769" width="5.140625" style="8" customWidth="1"/>
    <col min="770" max="770" width="38.85546875" style="8" customWidth="1"/>
    <col min="771" max="771" width="6.5703125" style="8" customWidth="1"/>
    <col min="772" max="772" width="9.42578125" style="8" bestFit="1" customWidth="1"/>
    <col min="773" max="773" width="8" style="8" customWidth="1"/>
    <col min="774" max="774" width="8.28515625" style="8" customWidth="1"/>
    <col min="775" max="775" width="8.140625" style="8" customWidth="1"/>
    <col min="776" max="776" width="12.140625" style="8" bestFit="1" customWidth="1"/>
    <col min="777" max="777" width="15.85546875" style="8" customWidth="1"/>
    <col min="778" max="778" width="9.140625" style="8"/>
    <col min="779" max="779" width="10" style="8" bestFit="1" customWidth="1"/>
    <col min="780" max="1024" width="9.140625" style="8"/>
    <col min="1025" max="1025" width="5.140625" style="8" customWidth="1"/>
    <col min="1026" max="1026" width="38.85546875" style="8" customWidth="1"/>
    <col min="1027" max="1027" width="6.5703125" style="8" customWidth="1"/>
    <col min="1028" max="1028" width="9.42578125" style="8" bestFit="1" customWidth="1"/>
    <col min="1029" max="1029" width="8" style="8" customWidth="1"/>
    <col min="1030" max="1030" width="8.28515625" style="8" customWidth="1"/>
    <col min="1031" max="1031" width="8.140625" style="8" customWidth="1"/>
    <col min="1032" max="1032" width="12.140625" style="8" bestFit="1" customWidth="1"/>
    <col min="1033" max="1033" width="15.85546875" style="8" customWidth="1"/>
    <col min="1034" max="1034" width="9.140625" style="8"/>
    <col min="1035" max="1035" width="10" style="8" bestFit="1" customWidth="1"/>
    <col min="1036" max="1280" width="9.140625" style="8"/>
    <col min="1281" max="1281" width="5.140625" style="8" customWidth="1"/>
    <col min="1282" max="1282" width="38.85546875" style="8" customWidth="1"/>
    <col min="1283" max="1283" width="6.5703125" style="8" customWidth="1"/>
    <col min="1284" max="1284" width="9.42578125" style="8" bestFit="1" customWidth="1"/>
    <col min="1285" max="1285" width="8" style="8" customWidth="1"/>
    <col min="1286" max="1286" width="8.28515625" style="8" customWidth="1"/>
    <col min="1287" max="1287" width="8.140625" style="8" customWidth="1"/>
    <col min="1288" max="1288" width="12.140625" style="8" bestFit="1" customWidth="1"/>
    <col min="1289" max="1289" width="15.85546875" style="8" customWidth="1"/>
    <col min="1290" max="1290" width="9.140625" style="8"/>
    <col min="1291" max="1291" width="10" style="8" bestFit="1" customWidth="1"/>
    <col min="1292" max="1536" width="9.140625" style="8"/>
    <col min="1537" max="1537" width="5.140625" style="8" customWidth="1"/>
    <col min="1538" max="1538" width="38.85546875" style="8" customWidth="1"/>
    <col min="1539" max="1539" width="6.5703125" style="8" customWidth="1"/>
    <col min="1540" max="1540" width="9.42578125" style="8" bestFit="1" customWidth="1"/>
    <col min="1541" max="1541" width="8" style="8" customWidth="1"/>
    <col min="1542" max="1542" width="8.28515625" style="8" customWidth="1"/>
    <col min="1543" max="1543" width="8.140625" style="8" customWidth="1"/>
    <col min="1544" max="1544" width="12.140625" style="8" bestFit="1" customWidth="1"/>
    <col min="1545" max="1545" width="15.85546875" style="8" customWidth="1"/>
    <col min="1546" max="1546" width="9.140625" style="8"/>
    <col min="1547" max="1547" width="10" style="8" bestFit="1" customWidth="1"/>
    <col min="1548" max="1792" width="9.140625" style="8"/>
    <col min="1793" max="1793" width="5.140625" style="8" customWidth="1"/>
    <col min="1794" max="1794" width="38.85546875" style="8" customWidth="1"/>
    <col min="1795" max="1795" width="6.5703125" style="8" customWidth="1"/>
    <col min="1796" max="1796" width="9.42578125" style="8" bestFit="1" customWidth="1"/>
    <col min="1797" max="1797" width="8" style="8" customWidth="1"/>
    <col min="1798" max="1798" width="8.28515625" style="8" customWidth="1"/>
    <col min="1799" max="1799" width="8.140625" style="8" customWidth="1"/>
    <col min="1800" max="1800" width="12.140625" style="8" bestFit="1" customWidth="1"/>
    <col min="1801" max="1801" width="15.85546875" style="8" customWidth="1"/>
    <col min="1802" max="1802" width="9.140625" style="8"/>
    <col min="1803" max="1803" width="10" style="8" bestFit="1" customWidth="1"/>
    <col min="1804" max="2048" width="9.140625" style="8"/>
    <col min="2049" max="2049" width="5.140625" style="8" customWidth="1"/>
    <col min="2050" max="2050" width="38.85546875" style="8" customWidth="1"/>
    <col min="2051" max="2051" width="6.5703125" style="8" customWidth="1"/>
    <col min="2052" max="2052" width="9.42578125" style="8" bestFit="1" customWidth="1"/>
    <col min="2053" max="2053" width="8" style="8" customWidth="1"/>
    <col min="2054" max="2054" width="8.28515625" style="8" customWidth="1"/>
    <col min="2055" max="2055" width="8.140625" style="8" customWidth="1"/>
    <col min="2056" max="2056" width="12.140625" style="8" bestFit="1" customWidth="1"/>
    <col min="2057" max="2057" width="15.85546875" style="8" customWidth="1"/>
    <col min="2058" max="2058" width="9.140625" style="8"/>
    <col min="2059" max="2059" width="10" style="8" bestFit="1" customWidth="1"/>
    <col min="2060" max="2304" width="9.140625" style="8"/>
    <col min="2305" max="2305" width="5.140625" style="8" customWidth="1"/>
    <col min="2306" max="2306" width="38.85546875" style="8" customWidth="1"/>
    <col min="2307" max="2307" width="6.5703125" style="8" customWidth="1"/>
    <col min="2308" max="2308" width="9.42578125" style="8" bestFit="1" customWidth="1"/>
    <col min="2309" max="2309" width="8" style="8" customWidth="1"/>
    <col min="2310" max="2310" width="8.28515625" style="8" customWidth="1"/>
    <col min="2311" max="2311" width="8.140625" style="8" customWidth="1"/>
    <col min="2312" max="2312" width="12.140625" style="8" bestFit="1" customWidth="1"/>
    <col min="2313" max="2313" width="15.85546875" style="8" customWidth="1"/>
    <col min="2314" max="2314" width="9.140625" style="8"/>
    <col min="2315" max="2315" width="10" style="8" bestFit="1" customWidth="1"/>
    <col min="2316" max="2560" width="9.140625" style="8"/>
    <col min="2561" max="2561" width="5.140625" style="8" customWidth="1"/>
    <col min="2562" max="2562" width="38.85546875" style="8" customWidth="1"/>
    <col min="2563" max="2563" width="6.5703125" style="8" customWidth="1"/>
    <col min="2564" max="2564" width="9.42578125" style="8" bestFit="1" customWidth="1"/>
    <col min="2565" max="2565" width="8" style="8" customWidth="1"/>
    <col min="2566" max="2566" width="8.28515625" style="8" customWidth="1"/>
    <col min="2567" max="2567" width="8.140625" style="8" customWidth="1"/>
    <col min="2568" max="2568" width="12.140625" style="8" bestFit="1" customWidth="1"/>
    <col min="2569" max="2569" width="15.85546875" style="8" customWidth="1"/>
    <col min="2570" max="2570" width="9.140625" style="8"/>
    <col min="2571" max="2571" width="10" style="8" bestFit="1" customWidth="1"/>
    <col min="2572" max="2816" width="9.140625" style="8"/>
    <col min="2817" max="2817" width="5.140625" style="8" customWidth="1"/>
    <col min="2818" max="2818" width="38.85546875" style="8" customWidth="1"/>
    <col min="2819" max="2819" width="6.5703125" style="8" customWidth="1"/>
    <col min="2820" max="2820" width="9.42578125" style="8" bestFit="1" customWidth="1"/>
    <col min="2821" max="2821" width="8" style="8" customWidth="1"/>
    <col min="2822" max="2822" width="8.28515625" style="8" customWidth="1"/>
    <col min="2823" max="2823" width="8.140625" style="8" customWidth="1"/>
    <col min="2824" max="2824" width="12.140625" style="8" bestFit="1" customWidth="1"/>
    <col min="2825" max="2825" width="15.85546875" style="8" customWidth="1"/>
    <col min="2826" max="2826" width="9.140625" style="8"/>
    <col min="2827" max="2827" width="10" style="8" bestFit="1" customWidth="1"/>
    <col min="2828" max="3072" width="9.140625" style="8"/>
    <col min="3073" max="3073" width="5.140625" style="8" customWidth="1"/>
    <col min="3074" max="3074" width="38.85546875" style="8" customWidth="1"/>
    <col min="3075" max="3075" width="6.5703125" style="8" customWidth="1"/>
    <col min="3076" max="3076" width="9.42578125" style="8" bestFit="1" customWidth="1"/>
    <col min="3077" max="3077" width="8" style="8" customWidth="1"/>
    <col min="3078" max="3078" width="8.28515625" style="8" customWidth="1"/>
    <col min="3079" max="3079" width="8.140625" style="8" customWidth="1"/>
    <col min="3080" max="3080" width="12.140625" style="8" bestFit="1" customWidth="1"/>
    <col min="3081" max="3081" width="15.85546875" style="8" customWidth="1"/>
    <col min="3082" max="3082" width="9.140625" style="8"/>
    <col min="3083" max="3083" width="10" style="8" bestFit="1" customWidth="1"/>
    <col min="3084" max="3328" width="9.140625" style="8"/>
    <col min="3329" max="3329" width="5.140625" style="8" customWidth="1"/>
    <col min="3330" max="3330" width="38.85546875" style="8" customWidth="1"/>
    <col min="3331" max="3331" width="6.5703125" style="8" customWidth="1"/>
    <col min="3332" max="3332" width="9.42578125" style="8" bestFit="1" customWidth="1"/>
    <col min="3333" max="3333" width="8" style="8" customWidth="1"/>
    <col min="3334" max="3334" width="8.28515625" style="8" customWidth="1"/>
    <col min="3335" max="3335" width="8.140625" style="8" customWidth="1"/>
    <col min="3336" max="3336" width="12.140625" style="8" bestFit="1" customWidth="1"/>
    <col min="3337" max="3337" width="15.85546875" style="8" customWidth="1"/>
    <col min="3338" max="3338" width="9.140625" style="8"/>
    <col min="3339" max="3339" width="10" style="8" bestFit="1" customWidth="1"/>
    <col min="3340" max="3584" width="9.140625" style="8"/>
    <col min="3585" max="3585" width="5.140625" style="8" customWidth="1"/>
    <col min="3586" max="3586" width="38.85546875" style="8" customWidth="1"/>
    <col min="3587" max="3587" width="6.5703125" style="8" customWidth="1"/>
    <col min="3588" max="3588" width="9.42578125" style="8" bestFit="1" customWidth="1"/>
    <col min="3589" max="3589" width="8" style="8" customWidth="1"/>
    <col min="3590" max="3590" width="8.28515625" style="8" customWidth="1"/>
    <col min="3591" max="3591" width="8.140625" style="8" customWidth="1"/>
    <col min="3592" max="3592" width="12.140625" style="8" bestFit="1" customWidth="1"/>
    <col min="3593" max="3593" width="15.85546875" style="8" customWidth="1"/>
    <col min="3594" max="3594" width="9.140625" style="8"/>
    <col min="3595" max="3595" width="10" style="8" bestFit="1" customWidth="1"/>
    <col min="3596" max="3840" width="9.140625" style="8"/>
    <col min="3841" max="3841" width="5.140625" style="8" customWidth="1"/>
    <col min="3842" max="3842" width="38.85546875" style="8" customWidth="1"/>
    <col min="3843" max="3843" width="6.5703125" style="8" customWidth="1"/>
    <col min="3844" max="3844" width="9.42578125" style="8" bestFit="1" customWidth="1"/>
    <col min="3845" max="3845" width="8" style="8" customWidth="1"/>
    <col min="3846" max="3846" width="8.28515625" style="8" customWidth="1"/>
    <col min="3847" max="3847" width="8.140625" style="8" customWidth="1"/>
    <col min="3848" max="3848" width="12.140625" style="8" bestFit="1" customWidth="1"/>
    <col min="3849" max="3849" width="15.85546875" style="8" customWidth="1"/>
    <col min="3850" max="3850" width="9.140625" style="8"/>
    <col min="3851" max="3851" width="10" style="8" bestFit="1" customWidth="1"/>
    <col min="3852" max="4096" width="9.140625" style="8"/>
    <col min="4097" max="4097" width="5.140625" style="8" customWidth="1"/>
    <col min="4098" max="4098" width="38.85546875" style="8" customWidth="1"/>
    <col min="4099" max="4099" width="6.5703125" style="8" customWidth="1"/>
    <col min="4100" max="4100" width="9.42578125" style="8" bestFit="1" customWidth="1"/>
    <col min="4101" max="4101" width="8" style="8" customWidth="1"/>
    <col min="4102" max="4102" width="8.28515625" style="8" customWidth="1"/>
    <col min="4103" max="4103" width="8.140625" style="8" customWidth="1"/>
    <col min="4104" max="4104" width="12.140625" style="8" bestFit="1" customWidth="1"/>
    <col min="4105" max="4105" width="15.85546875" style="8" customWidth="1"/>
    <col min="4106" max="4106" width="9.140625" style="8"/>
    <col min="4107" max="4107" width="10" style="8" bestFit="1" customWidth="1"/>
    <col min="4108" max="4352" width="9.140625" style="8"/>
    <col min="4353" max="4353" width="5.140625" style="8" customWidth="1"/>
    <col min="4354" max="4354" width="38.85546875" style="8" customWidth="1"/>
    <col min="4355" max="4355" width="6.5703125" style="8" customWidth="1"/>
    <col min="4356" max="4356" width="9.42578125" style="8" bestFit="1" customWidth="1"/>
    <col min="4357" max="4357" width="8" style="8" customWidth="1"/>
    <col min="4358" max="4358" width="8.28515625" style="8" customWidth="1"/>
    <col min="4359" max="4359" width="8.140625" style="8" customWidth="1"/>
    <col min="4360" max="4360" width="12.140625" style="8" bestFit="1" customWidth="1"/>
    <col min="4361" max="4361" width="15.85546875" style="8" customWidth="1"/>
    <col min="4362" max="4362" width="9.140625" style="8"/>
    <col min="4363" max="4363" width="10" style="8" bestFit="1" customWidth="1"/>
    <col min="4364" max="4608" width="9.140625" style="8"/>
    <col min="4609" max="4609" width="5.140625" style="8" customWidth="1"/>
    <col min="4610" max="4610" width="38.85546875" style="8" customWidth="1"/>
    <col min="4611" max="4611" width="6.5703125" style="8" customWidth="1"/>
    <col min="4612" max="4612" width="9.42578125" style="8" bestFit="1" customWidth="1"/>
    <col min="4613" max="4613" width="8" style="8" customWidth="1"/>
    <col min="4614" max="4614" width="8.28515625" style="8" customWidth="1"/>
    <col min="4615" max="4615" width="8.140625" style="8" customWidth="1"/>
    <col min="4616" max="4616" width="12.140625" style="8" bestFit="1" customWidth="1"/>
    <col min="4617" max="4617" width="15.85546875" style="8" customWidth="1"/>
    <col min="4618" max="4618" width="9.140625" style="8"/>
    <col min="4619" max="4619" width="10" style="8" bestFit="1" customWidth="1"/>
    <col min="4620" max="4864" width="9.140625" style="8"/>
    <col min="4865" max="4865" width="5.140625" style="8" customWidth="1"/>
    <col min="4866" max="4866" width="38.85546875" style="8" customWidth="1"/>
    <col min="4867" max="4867" width="6.5703125" style="8" customWidth="1"/>
    <col min="4868" max="4868" width="9.42578125" style="8" bestFit="1" customWidth="1"/>
    <col min="4869" max="4869" width="8" style="8" customWidth="1"/>
    <col min="4870" max="4870" width="8.28515625" style="8" customWidth="1"/>
    <col min="4871" max="4871" width="8.140625" style="8" customWidth="1"/>
    <col min="4872" max="4872" width="12.140625" style="8" bestFit="1" customWidth="1"/>
    <col min="4873" max="4873" width="15.85546875" style="8" customWidth="1"/>
    <col min="4874" max="4874" width="9.140625" style="8"/>
    <col min="4875" max="4875" width="10" style="8" bestFit="1" customWidth="1"/>
    <col min="4876" max="5120" width="9.140625" style="8"/>
    <col min="5121" max="5121" width="5.140625" style="8" customWidth="1"/>
    <col min="5122" max="5122" width="38.85546875" style="8" customWidth="1"/>
    <col min="5123" max="5123" width="6.5703125" style="8" customWidth="1"/>
    <col min="5124" max="5124" width="9.42578125" style="8" bestFit="1" customWidth="1"/>
    <col min="5125" max="5125" width="8" style="8" customWidth="1"/>
    <col min="5126" max="5126" width="8.28515625" style="8" customWidth="1"/>
    <col min="5127" max="5127" width="8.140625" style="8" customWidth="1"/>
    <col min="5128" max="5128" width="12.140625" style="8" bestFit="1" customWidth="1"/>
    <col min="5129" max="5129" width="15.85546875" style="8" customWidth="1"/>
    <col min="5130" max="5130" width="9.140625" style="8"/>
    <col min="5131" max="5131" width="10" style="8" bestFit="1" customWidth="1"/>
    <col min="5132" max="5376" width="9.140625" style="8"/>
    <col min="5377" max="5377" width="5.140625" style="8" customWidth="1"/>
    <col min="5378" max="5378" width="38.85546875" style="8" customWidth="1"/>
    <col min="5379" max="5379" width="6.5703125" style="8" customWidth="1"/>
    <col min="5380" max="5380" width="9.42578125" style="8" bestFit="1" customWidth="1"/>
    <col min="5381" max="5381" width="8" style="8" customWidth="1"/>
    <col min="5382" max="5382" width="8.28515625" style="8" customWidth="1"/>
    <col min="5383" max="5383" width="8.140625" style="8" customWidth="1"/>
    <col min="5384" max="5384" width="12.140625" style="8" bestFit="1" customWidth="1"/>
    <col min="5385" max="5385" width="15.85546875" style="8" customWidth="1"/>
    <col min="5386" max="5386" width="9.140625" style="8"/>
    <col min="5387" max="5387" width="10" style="8" bestFit="1" customWidth="1"/>
    <col min="5388" max="5632" width="9.140625" style="8"/>
    <col min="5633" max="5633" width="5.140625" style="8" customWidth="1"/>
    <col min="5634" max="5634" width="38.85546875" style="8" customWidth="1"/>
    <col min="5635" max="5635" width="6.5703125" style="8" customWidth="1"/>
    <col min="5636" max="5636" width="9.42578125" style="8" bestFit="1" customWidth="1"/>
    <col min="5637" max="5637" width="8" style="8" customWidth="1"/>
    <col min="5638" max="5638" width="8.28515625" style="8" customWidth="1"/>
    <col min="5639" max="5639" width="8.140625" style="8" customWidth="1"/>
    <col min="5640" max="5640" width="12.140625" style="8" bestFit="1" customWidth="1"/>
    <col min="5641" max="5641" width="15.85546875" style="8" customWidth="1"/>
    <col min="5642" max="5642" width="9.140625" style="8"/>
    <col min="5643" max="5643" width="10" style="8" bestFit="1" customWidth="1"/>
    <col min="5644" max="5888" width="9.140625" style="8"/>
    <col min="5889" max="5889" width="5.140625" style="8" customWidth="1"/>
    <col min="5890" max="5890" width="38.85546875" style="8" customWidth="1"/>
    <col min="5891" max="5891" width="6.5703125" style="8" customWidth="1"/>
    <col min="5892" max="5892" width="9.42578125" style="8" bestFit="1" customWidth="1"/>
    <col min="5893" max="5893" width="8" style="8" customWidth="1"/>
    <col min="5894" max="5894" width="8.28515625" style="8" customWidth="1"/>
    <col min="5895" max="5895" width="8.140625" style="8" customWidth="1"/>
    <col min="5896" max="5896" width="12.140625" style="8" bestFit="1" customWidth="1"/>
    <col min="5897" max="5897" width="15.85546875" style="8" customWidth="1"/>
    <col min="5898" max="5898" width="9.140625" style="8"/>
    <col min="5899" max="5899" width="10" style="8" bestFit="1" customWidth="1"/>
    <col min="5900" max="6144" width="9.140625" style="8"/>
    <col min="6145" max="6145" width="5.140625" style="8" customWidth="1"/>
    <col min="6146" max="6146" width="38.85546875" style="8" customWidth="1"/>
    <col min="6147" max="6147" width="6.5703125" style="8" customWidth="1"/>
    <col min="6148" max="6148" width="9.42578125" style="8" bestFit="1" customWidth="1"/>
    <col min="6149" max="6149" width="8" style="8" customWidth="1"/>
    <col min="6150" max="6150" width="8.28515625" style="8" customWidth="1"/>
    <col min="6151" max="6151" width="8.140625" style="8" customWidth="1"/>
    <col min="6152" max="6152" width="12.140625" style="8" bestFit="1" customWidth="1"/>
    <col min="6153" max="6153" width="15.85546875" style="8" customWidth="1"/>
    <col min="6154" max="6154" width="9.140625" style="8"/>
    <col min="6155" max="6155" width="10" style="8" bestFit="1" customWidth="1"/>
    <col min="6156" max="6400" width="9.140625" style="8"/>
    <col min="6401" max="6401" width="5.140625" style="8" customWidth="1"/>
    <col min="6402" max="6402" width="38.85546875" style="8" customWidth="1"/>
    <col min="6403" max="6403" width="6.5703125" style="8" customWidth="1"/>
    <col min="6404" max="6404" width="9.42578125" style="8" bestFit="1" customWidth="1"/>
    <col min="6405" max="6405" width="8" style="8" customWidth="1"/>
    <col min="6406" max="6406" width="8.28515625" style="8" customWidth="1"/>
    <col min="6407" max="6407" width="8.140625" style="8" customWidth="1"/>
    <col min="6408" max="6408" width="12.140625" style="8" bestFit="1" customWidth="1"/>
    <col min="6409" max="6409" width="15.85546875" style="8" customWidth="1"/>
    <col min="6410" max="6410" width="9.140625" style="8"/>
    <col min="6411" max="6411" width="10" style="8" bestFit="1" customWidth="1"/>
    <col min="6412" max="6656" width="9.140625" style="8"/>
    <col min="6657" max="6657" width="5.140625" style="8" customWidth="1"/>
    <col min="6658" max="6658" width="38.85546875" style="8" customWidth="1"/>
    <col min="6659" max="6659" width="6.5703125" style="8" customWidth="1"/>
    <col min="6660" max="6660" width="9.42578125" style="8" bestFit="1" customWidth="1"/>
    <col min="6661" max="6661" width="8" style="8" customWidth="1"/>
    <col min="6662" max="6662" width="8.28515625" style="8" customWidth="1"/>
    <col min="6663" max="6663" width="8.140625" style="8" customWidth="1"/>
    <col min="6664" max="6664" width="12.140625" style="8" bestFit="1" customWidth="1"/>
    <col min="6665" max="6665" width="15.85546875" style="8" customWidth="1"/>
    <col min="6666" max="6666" width="9.140625" style="8"/>
    <col min="6667" max="6667" width="10" style="8" bestFit="1" customWidth="1"/>
    <col min="6668" max="6912" width="9.140625" style="8"/>
    <col min="6913" max="6913" width="5.140625" style="8" customWidth="1"/>
    <col min="6914" max="6914" width="38.85546875" style="8" customWidth="1"/>
    <col min="6915" max="6915" width="6.5703125" style="8" customWidth="1"/>
    <col min="6916" max="6916" width="9.42578125" style="8" bestFit="1" customWidth="1"/>
    <col min="6917" max="6917" width="8" style="8" customWidth="1"/>
    <col min="6918" max="6918" width="8.28515625" style="8" customWidth="1"/>
    <col min="6919" max="6919" width="8.140625" style="8" customWidth="1"/>
    <col min="6920" max="6920" width="12.140625" style="8" bestFit="1" customWidth="1"/>
    <col min="6921" max="6921" width="15.85546875" style="8" customWidth="1"/>
    <col min="6922" max="6922" width="9.140625" style="8"/>
    <col min="6923" max="6923" width="10" style="8" bestFit="1" customWidth="1"/>
    <col min="6924" max="7168" width="9.140625" style="8"/>
    <col min="7169" max="7169" width="5.140625" style="8" customWidth="1"/>
    <col min="7170" max="7170" width="38.85546875" style="8" customWidth="1"/>
    <col min="7171" max="7171" width="6.5703125" style="8" customWidth="1"/>
    <col min="7172" max="7172" width="9.42578125" style="8" bestFit="1" customWidth="1"/>
    <col min="7173" max="7173" width="8" style="8" customWidth="1"/>
    <col min="7174" max="7174" width="8.28515625" style="8" customWidth="1"/>
    <col min="7175" max="7175" width="8.140625" style="8" customWidth="1"/>
    <col min="7176" max="7176" width="12.140625" style="8" bestFit="1" customWidth="1"/>
    <col min="7177" max="7177" width="15.85546875" style="8" customWidth="1"/>
    <col min="7178" max="7178" width="9.140625" style="8"/>
    <col min="7179" max="7179" width="10" style="8" bestFit="1" customWidth="1"/>
    <col min="7180" max="7424" width="9.140625" style="8"/>
    <col min="7425" max="7425" width="5.140625" style="8" customWidth="1"/>
    <col min="7426" max="7426" width="38.85546875" style="8" customWidth="1"/>
    <col min="7427" max="7427" width="6.5703125" style="8" customWidth="1"/>
    <col min="7428" max="7428" width="9.42578125" style="8" bestFit="1" customWidth="1"/>
    <col min="7429" max="7429" width="8" style="8" customWidth="1"/>
    <col min="7430" max="7430" width="8.28515625" style="8" customWidth="1"/>
    <col min="7431" max="7431" width="8.140625" style="8" customWidth="1"/>
    <col min="7432" max="7432" width="12.140625" style="8" bestFit="1" customWidth="1"/>
    <col min="7433" max="7433" width="15.85546875" style="8" customWidth="1"/>
    <col min="7434" max="7434" width="9.140625" style="8"/>
    <col min="7435" max="7435" width="10" style="8" bestFit="1" customWidth="1"/>
    <col min="7436" max="7680" width="9.140625" style="8"/>
    <col min="7681" max="7681" width="5.140625" style="8" customWidth="1"/>
    <col min="7682" max="7682" width="38.85546875" style="8" customWidth="1"/>
    <col min="7683" max="7683" width="6.5703125" style="8" customWidth="1"/>
    <col min="7684" max="7684" width="9.42578125" style="8" bestFit="1" customWidth="1"/>
    <col min="7685" max="7685" width="8" style="8" customWidth="1"/>
    <col min="7686" max="7686" width="8.28515625" style="8" customWidth="1"/>
    <col min="7687" max="7687" width="8.140625" style="8" customWidth="1"/>
    <col min="7688" max="7688" width="12.140625" style="8" bestFit="1" customWidth="1"/>
    <col min="7689" max="7689" width="15.85546875" style="8" customWidth="1"/>
    <col min="7690" max="7690" width="9.140625" style="8"/>
    <col min="7691" max="7691" width="10" style="8" bestFit="1" customWidth="1"/>
    <col min="7692" max="7936" width="9.140625" style="8"/>
    <col min="7937" max="7937" width="5.140625" style="8" customWidth="1"/>
    <col min="7938" max="7938" width="38.85546875" style="8" customWidth="1"/>
    <col min="7939" max="7939" width="6.5703125" style="8" customWidth="1"/>
    <col min="7940" max="7940" width="9.42578125" style="8" bestFit="1" customWidth="1"/>
    <col min="7941" max="7941" width="8" style="8" customWidth="1"/>
    <col min="7942" max="7942" width="8.28515625" style="8" customWidth="1"/>
    <col min="7943" max="7943" width="8.140625" style="8" customWidth="1"/>
    <col min="7944" max="7944" width="12.140625" style="8" bestFit="1" customWidth="1"/>
    <col min="7945" max="7945" width="15.85546875" style="8" customWidth="1"/>
    <col min="7946" max="7946" width="9.140625" style="8"/>
    <col min="7947" max="7947" width="10" style="8" bestFit="1" customWidth="1"/>
    <col min="7948" max="8192" width="9.140625" style="8"/>
    <col min="8193" max="8193" width="5.140625" style="8" customWidth="1"/>
    <col min="8194" max="8194" width="38.85546875" style="8" customWidth="1"/>
    <col min="8195" max="8195" width="6.5703125" style="8" customWidth="1"/>
    <col min="8196" max="8196" width="9.42578125" style="8" bestFit="1" customWidth="1"/>
    <col min="8197" max="8197" width="8" style="8" customWidth="1"/>
    <col min="8198" max="8198" width="8.28515625" style="8" customWidth="1"/>
    <col min="8199" max="8199" width="8.140625" style="8" customWidth="1"/>
    <col min="8200" max="8200" width="12.140625" style="8" bestFit="1" customWidth="1"/>
    <col min="8201" max="8201" width="15.85546875" style="8" customWidth="1"/>
    <col min="8202" max="8202" width="9.140625" style="8"/>
    <col min="8203" max="8203" width="10" style="8" bestFit="1" customWidth="1"/>
    <col min="8204" max="8448" width="9.140625" style="8"/>
    <col min="8449" max="8449" width="5.140625" style="8" customWidth="1"/>
    <col min="8450" max="8450" width="38.85546875" style="8" customWidth="1"/>
    <col min="8451" max="8451" width="6.5703125" style="8" customWidth="1"/>
    <col min="8452" max="8452" width="9.42578125" style="8" bestFit="1" customWidth="1"/>
    <col min="8453" max="8453" width="8" style="8" customWidth="1"/>
    <col min="8454" max="8454" width="8.28515625" style="8" customWidth="1"/>
    <col min="8455" max="8455" width="8.140625" style="8" customWidth="1"/>
    <col min="8456" max="8456" width="12.140625" style="8" bestFit="1" customWidth="1"/>
    <col min="8457" max="8457" width="15.85546875" style="8" customWidth="1"/>
    <col min="8458" max="8458" width="9.140625" style="8"/>
    <col min="8459" max="8459" width="10" style="8" bestFit="1" customWidth="1"/>
    <col min="8460" max="8704" width="9.140625" style="8"/>
    <col min="8705" max="8705" width="5.140625" style="8" customWidth="1"/>
    <col min="8706" max="8706" width="38.85546875" style="8" customWidth="1"/>
    <col min="8707" max="8707" width="6.5703125" style="8" customWidth="1"/>
    <col min="8708" max="8708" width="9.42578125" style="8" bestFit="1" customWidth="1"/>
    <col min="8709" max="8709" width="8" style="8" customWidth="1"/>
    <col min="8710" max="8710" width="8.28515625" style="8" customWidth="1"/>
    <col min="8711" max="8711" width="8.140625" style="8" customWidth="1"/>
    <col min="8712" max="8712" width="12.140625" style="8" bestFit="1" customWidth="1"/>
    <col min="8713" max="8713" width="15.85546875" style="8" customWidth="1"/>
    <col min="8714" max="8714" width="9.140625" style="8"/>
    <col min="8715" max="8715" width="10" style="8" bestFit="1" customWidth="1"/>
    <col min="8716" max="8960" width="9.140625" style="8"/>
    <col min="8961" max="8961" width="5.140625" style="8" customWidth="1"/>
    <col min="8962" max="8962" width="38.85546875" style="8" customWidth="1"/>
    <col min="8963" max="8963" width="6.5703125" style="8" customWidth="1"/>
    <col min="8964" max="8964" width="9.42578125" style="8" bestFit="1" customWidth="1"/>
    <col min="8965" max="8965" width="8" style="8" customWidth="1"/>
    <col min="8966" max="8966" width="8.28515625" style="8" customWidth="1"/>
    <col min="8967" max="8967" width="8.140625" style="8" customWidth="1"/>
    <col min="8968" max="8968" width="12.140625" style="8" bestFit="1" customWidth="1"/>
    <col min="8969" max="8969" width="15.85546875" style="8" customWidth="1"/>
    <col min="8970" max="8970" width="9.140625" style="8"/>
    <col min="8971" max="8971" width="10" style="8" bestFit="1" customWidth="1"/>
    <col min="8972" max="9216" width="9.140625" style="8"/>
    <col min="9217" max="9217" width="5.140625" style="8" customWidth="1"/>
    <col min="9218" max="9218" width="38.85546875" style="8" customWidth="1"/>
    <col min="9219" max="9219" width="6.5703125" style="8" customWidth="1"/>
    <col min="9220" max="9220" width="9.42578125" style="8" bestFit="1" customWidth="1"/>
    <col min="9221" max="9221" width="8" style="8" customWidth="1"/>
    <col min="9222" max="9222" width="8.28515625" style="8" customWidth="1"/>
    <col min="9223" max="9223" width="8.140625" style="8" customWidth="1"/>
    <col min="9224" max="9224" width="12.140625" style="8" bestFit="1" customWidth="1"/>
    <col min="9225" max="9225" width="15.85546875" style="8" customWidth="1"/>
    <col min="9226" max="9226" width="9.140625" style="8"/>
    <col min="9227" max="9227" width="10" style="8" bestFit="1" customWidth="1"/>
    <col min="9228" max="9472" width="9.140625" style="8"/>
    <col min="9473" max="9473" width="5.140625" style="8" customWidth="1"/>
    <col min="9474" max="9474" width="38.85546875" style="8" customWidth="1"/>
    <col min="9475" max="9475" width="6.5703125" style="8" customWidth="1"/>
    <col min="9476" max="9476" width="9.42578125" style="8" bestFit="1" customWidth="1"/>
    <col min="9477" max="9477" width="8" style="8" customWidth="1"/>
    <col min="9478" max="9478" width="8.28515625" style="8" customWidth="1"/>
    <col min="9479" max="9479" width="8.140625" style="8" customWidth="1"/>
    <col min="9480" max="9480" width="12.140625" style="8" bestFit="1" customWidth="1"/>
    <col min="9481" max="9481" width="15.85546875" style="8" customWidth="1"/>
    <col min="9482" max="9482" width="9.140625" style="8"/>
    <col min="9483" max="9483" width="10" style="8" bestFit="1" customWidth="1"/>
    <col min="9484" max="9728" width="9.140625" style="8"/>
    <col min="9729" max="9729" width="5.140625" style="8" customWidth="1"/>
    <col min="9730" max="9730" width="38.85546875" style="8" customWidth="1"/>
    <col min="9731" max="9731" width="6.5703125" style="8" customWidth="1"/>
    <col min="9732" max="9732" width="9.42578125" style="8" bestFit="1" customWidth="1"/>
    <col min="9733" max="9733" width="8" style="8" customWidth="1"/>
    <col min="9734" max="9734" width="8.28515625" style="8" customWidth="1"/>
    <col min="9735" max="9735" width="8.140625" style="8" customWidth="1"/>
    <col min="9736" max="9736" width="12.140625" style="8" bestFit="1" customWidth="1"/>
    <col min="9737" max="9737" width="15.85546875" style="8" customWidth="1"/>
    <col min="9738" max="9738" width="9.140625" style="8"/>
    <col min="9739" max="9739" width="10" style="8" bestFit="1" customWidth="1"/>
    <col min="9740" max="9984" width="9.140625" style="8"/>
    <col min="9985" max="9985" width="5.140625" style="8" customWidth="1"/>
    <col min="9986" max="9986" width="38.85546875" style="8" customWidth="1"/>
    <col min="9987" max="9987" width="6.5703125" style="8" customWidth="1"/>
    <col min="9988" max="9988" width="9.42578125" style="8" bestFit="1" customWidth="1"/>
    <col min="9989" max="9989" width="8" style="8" customWidth="1"/>
    <col min="9990" max="9990" width="8.28515625" style="8" customWidth="1"/>
    <col min="9991" max="9991" width="8.140625" style="8" customWidth="1"/>
    <col min="9992" max="9992" width="12.140625" style="8" bestFit="1" customWidth="1"/>
    <col min="9993" max="9993" width="15.85546875" style="8" customWidth="1"/>
    <col min="9994" max="9994" width="9.140625" style="8"/>
    <col min="9995" max="9995" width="10" style="8" bestFit="1" customWidth="1"/>
    <col min="9996" max="10240" width="9.140625" style="8"/>
    <col min="10241" max="10241" width="5.140625" style="8" customWidth="1"/>
    <col min="10242" max="10242" width="38.85546875" style="8" customWidth="1"/>
    <col min="10243" max="10243" width="6.5703125" style="8" customWidth="1"/>
    <col min="10244" max="10244" width="9.42578125" style="8" bestFit="1" customWidth="1"/>
    <col min="10245" max="10245" width="8" style="8" customWidth="1"/>
    <col min="10246" max="10246" width="8.28515625" style="8" customWidth="1"/>
    <col min="10247" max="10247" width="8.140625" style="8" customWidth="1"/>
    <col min="10248" max="10248" width="12.140625" style="8" bestFit="1" customWidth="1"/>
    <col min="10249" max="10249" width="15.85546875" style="8" customWidth="1"/>
    <col min="10250" max="10250" width="9.140625" style="8"/>
    <col min="10251" max="10251" width="10" style="8" bestFit="1" customWidth="1"/>
    <col min="10252" max="10496" width="9.140625" style="8"/>
    <col min="10497" max="10497" width="5.140625" style="8" customWidth="1"/>
    <col min="10498" max="10498" width="38.85546875" style="8" customWidth="1"/>
    <col min="10499" max="10499" width="6.5703125" style="8" customWidth="1"/>
    <col min="10500" max="10500" width="9.42578125" style="8" bestFit="1" customWidth="1"/>
    <col min="10501" max="10501" width="8" style="8" customWidth="1"/>
    <col min="10502" max="10502" width="8.28515625" style="8" customWidth="1"/>
    <col min="10503" max="10503" width="8.140625" style="8" customWidth="1"/>
    <col min="10504" max="10504" width="12.140625" style="8" bestFit="1" customWidth="1"/>
    <col min="10505" max="10505" width="15.85546875" style="8" customWidth="1"/>
    <col min="10506" max="10506" width="9.140625" style="8"/>
    <col min="10507" max="10507" width="10" style="8" bestFit="1" customWidth="1"/>
    <col min="10508" max="10752" width="9.140625" style="8"/>
    <col min="10753" max="10753" width="5.140625" style="8" customWidth="1"/>
    <col min="10754" max="10754" width="38.85546875" style="8" customWidth="1"/>
    <col min="10755" max="10755" width="6.5703125" style="8" customWidth="1"/>
    <col min="10756" max="10756" width="9.42578125" style="8" bestFit="1" customWidth="1"/>
    <col min="10757" max="10757" width="8" style="8" customWidth="1"/>
    <col min="10758" max="10758" width="8.28515625" style="8" customWidth="1"/>
    <col min="10759" max="10759" width="8.140625" style="8" customWidth="1"/>
    <col min="10760" max="10760" width="12.140625" style="8" bestFit="1" customWidth="1"/>
    <col min="10761" max="10761" width="15.85546875" style="8" customWidth="1"/>
    <col min="10762" max="10762" width="9.140625" style="8"/>
    <col min="10763" max="10763" width="10" style="8" bestFit="1" customWidth="1"/>
    <col min="10764" max="11008" width="9.140625" style="8"/>
    <col min="11009" max="11009" width="5.140625" style="8" customWidth="1"/>
    <col min="11010" max="11010" width="38.85546875" style="8" customWidth="1"/>
    <col min="11011" max="11011" width="6.5703125" style="8" customWidth="1"/>
    <col min="11012" max="11012" width="9.42578125" style="8" bestFit="1" customWidth="1"/>
    <col min="11013" max="11013" width="8" style="8" customWidth="1"/>
    <col min="11014" max="11014" width="8.28515625" style="8" customWidth="1"/>
    <col min="11015" max="11015" width="8.140625" style="8" customWidth="1"/>
    <col min="11016" max="11016" width="12.140625" style="8" bestFit="1" customWidth="1"/>
    <col min="11017" max="11017" width="15.85546875" style="8" customWidth="1"/>
    <col min="11018" max="11018" width="9.140625" style="8"/>
    <col min="11019" max="11019" width="10" style="8" bestFit="1" customWidth="1"/>
    <col min="11020" max="11264" width="9.140625" style="8"/>
    <col min="11265" max="11265" width="5.140625" style="8" customWidth="1"/>
    <col min="11266" max="11266" width="38.85546875" style="8" customWidth="1"/>
    <col min="11267" max="11267" width="6.5703125" style="8" customWidth="1"/>
    <col min="11268" max="11268" width="9.42578125" style="8" bestFit="1" customWidth="1"/>
    <col min="11269" max="11269" width="8" style="8" customWidth="1"/>
    <col min="11270" max="11270" width="8.28515625" style="8" customWidth="1"/>
    <col min="11271" max="11271" width="8.140625" style="8" customWidth="1"/>
    <col min="11272" max="11272" width="12.140625" style="8" bestFit="1" customWidth="1"/>
    <col min="11273" max="11273" width="15.85546875" style="8" customWidth="1"/>
    <col min="11274" max="11274" width="9.140625" style="8"/>
    <col min="11275" max="11275" width="10" style="8" bestFit="1" customWidth="1"/>
    <col min="11276" max="11520" width="9.140625" style="8"/>
    <col min="11521" max="11521" width="5.140625" style="8" customWidth="1"/>
    <col min="11522" max="11522" width="38.85546875" style="8" customWidth="1"/>
    <col min="11523" max="11523" width="6.5703125" style="8" customWidth="1"/>
    <col min="11524" max="11524" width="9.42578125" style="8" bestFit="1" customWidth="1"/>
    <col min="11525" max="11525" width="8" style="8" customWidth="1"/>
    <col min="11526" max="11526" width="8.28515625" style="8" customWidth="1"/>
    <col min="11527" max="11527" width="8.140625" style="8" customWidth="1"/>
    <col min="11528" max="11528" width="12.140625" style="8" bestFit="1" customWidth="1"/>
    <col min="11529" max="11529" width="15.85546875" style="8" customWidth="1"/>
    <col min="11530" max="11530" width="9.140625" style="8"/>
    <col min="11531" max="11531" width="10" style="8" bestFit="1" customWidth="1"/>
    <col min="11532" max="11776" width="9.140625" style="8"/>
    <col min="11777" max="11777" width="5.140625" style="8" customWidth="1"/>
    <col min="11778" max="11778" width="38.85546875" style="8" customWidth="1"/>
    <col min="11779" max="11779" width="6.5703125" style="8" customWidth="1"/>
    <col min="11780" max="11780" width="9.42578125" style="8" bestFit="1" customWidth="1"/>
    <col min="11781" max="11781" width="8" style="8" customWidth="1"/>
    <col min="11782" max="11782" width="8.28515625" style="8" customWidth="1"/>
    <col min="11783" max="11783" width="8.140625" style="8" customWidth="1"/>
    <col min="11784" max="11784" width="12.140625" style="8" bestFit="1" customWidth="1"/>
    <col min="11785" max="11785" width="15.85546875" style="8" customWidth="1"/>
    <col min="11786" max="11786" width="9.140625" style="8"/>
    <col min="11787" max="11787" width="10" style="8" bestFit="1" customWidth="1"/>
    <col min="11788" max="12032" width="9.140625" style="8"/>
    <col min="12033" max="12033" width="5.140625" style="8" customWidth="1"/>
    <col min="12034" max="12034" width="38.85546875" style="8" customWidth="1"/>
    <col min="12035" max="12035" width="6.5703125" style="8" customWidth="1"/>
    <col min="12036" max="12036" width="9.42578125" style="8" bestFit="1" customWidth="1"/>
    <col min="12037" max="12037" width="8" style="8" customWidth="1"/>
    <col min="12038" max="12038" width="8.28515625" style="8" customWidth="1"/>
    <col min="12039" max="12039" width="8.140625" style="8" customWidth="1"/>
    <col min="12040" max="12040" width="12.140625" style="8" bestFit="1" customWidth="1"/>
    <col min="12041" max="12041" width="15.85546875" style="8" customWidth="1"/>
    <col min="12042" max="12042" width="9.140625" style="8"/>
    <col min="12043" max="12043" width="10" style="8" bestFit="1" customWidth="1"/>
    <col min="12044" max="12288" width="9.140625" style="8"/>
    <col min="12289" max="12289" width="5.140625" style="8" customWidth="1"/>
    <col min="12290" max="12290" width="38.85546875" style="8" customWidth="1"/>
    <col min="12291" max="12291" width="6.5703125" style="8" customWidth="1"/>
    <col min="12292" max="12292" width="9.42578125" style="8" bestFit="1" customWidth="1"/>
    <col min="12293" max="12293" width="8" style="8" customWidth="1"/>
    <col min="12294" max="12294" width="8.28515625" style="8" customWidth="1"/>
    <col min="12295" max="12295" width="8.140625" style="8" customWidth="1"/>
    <col min="12296" max="12296" width="12.140625" style="8" bestFit="1" customWidth="1"/>
    <col min="12297" max="12297" width="15.85546875" style="8" customWidth="1"/>
    <col min="12298" max="12298" width="9.140625" style="8"/>
    <col min="12299" max="12299" width="10" style="8" bestFit="1" customWidth="1"/>
    <col min="12300" max="12544" width="9.140625" style="8"/>
    <col min="12545" max="12545" width="5.140625" style="8" customWidth="1"/>
    <col min="12546" max="12546" width="38.85546875" style="8" customWidth="1"/>
    <col min="12547" max="12547" width="6.5703125" style="8" customWidth="1"/>
    <col min="12548" max="12548" width="9.42578125" style="8" bestFit="1" customWidth="1"/>
    <col min="12549" max="12549" width="8" style="8" customWidth="1"/>
    <col min="12550" max="12550" width="8.28515625" style="8" customWidth="1"/>
    <col min="12551" max="12551" width="8.140625" style="8" customWidth="1"/>
    <col min="12552" max="12552" width="12.140625" style="8" bestFit="1" customWidth="1"/>
    <col min="12553" max="12553" width="15.85546875" style="8" customWidth="1"/>
    <col min="12554" max="12554" width="9.140625" style="8"/>
    <col min="12555" max="12555" width="10" style="8" bestFit="1" customWidth="1"/>
    <col min="12556" max="12800" width="9.140625" style="8"/>
    <col min="12801" max="12801" width="5.140625" style="8" customWidth="1"/>
    <col min="12802" max="12802" width="38.85546875" style="8" customWidth="1"/>
    <col min="12803" max="12803" width="6.5703125" style="8" customWidth="1"/>
    <col min="12804" max="12804" width="9.42578125" style="8" bestFit="1" customWidth="1"/>
    <col min="12805" max="12805" width="8" style="8" customWidth="1"/>
    <col min="12806" max="12806" width="8.28515625" style="8" customWidth="1"/>
    <col min="12807" max="12807" width="8.140625" style="8" customWidth="1"/>
    <col min="12808" max="12808" width="12.140625" style="8" bestFit="1" customWidth="1"/>
    <col min="12809" max="12809" width="15.85546875" style="8" customWidth="1"/>
    <col min="12810" max="12810" width="9.140625" style="8"/>
    <col min="12811" max="12811" width="10" style="8" bestFit="1" customWidth="1"/>
    <col min="12812" max="13056" width="9.140625" style="8"/>
    <col min="13057" max="13057" width="5.140625" style="8" customWidth="1"/>
    <col min="13058" max="13058" width="38.85546875" style="8" customWidth="1"/>
    <col min="13059" max="13059" width="6.5703125" style="8" customWidth="1"/>
    <col min="13060" max="13060" width="9.42578125" style="8" bestFit="1" customWidth="1"/>
    <col min="13061" max="13061" width="8" style="8" customWidth="1"/>
    <col min="13062" max="13062" width="8.28515625" style="8" customWidth="1"/>
    <col min="13063" max="13063" width="8.140625" style="8" customWidth="1"/>
    <col min="13064" max="13064" width="12.140625" style="8" bestFit="1" customWidth="1"/>
    <col min="13065" max="13065" width="15.85546875" style="8" customWidth="1"/>
    <col min="13066" max="13066" width="9.140625" style="8"/>
    <col min="13067" max="13067" width="10" style="8" bestFit="1" customWidth="1"/>
    <col min="13068" max="13312" width="9.140625" style="8"/>
    <col min="13313" max="13313" width="5.140625" style="8" customWidth="1"/>
    <col min="13314" max="13314" width="38.85546875" style="8" customWidth="1"/>
    <col min="13315" max="13315" width="6.5703125" style="8" customWidth="1"/>
    <col min="13316" max="13316" width="9.42578125" style="8" bestFit="1" customWidth="1"/>
    <col min="13317" max="13317" width="8" style="8" customWidth="1"/>
    <col min="13318" max="13318" width="8.28515625" style="8" customWidth="1"/>
    <col min="13319" max="13319" width="8.140625" style="8" customWidth="1"/>
    <col min="13320" max="13320" width="12.140625" style="8" bestFit="1" customWidth="1"/>
    <col min="13321" max="13321" width="15.85546875" style="8" customWidth="1"/>
    <col min="13322" max="13322" width="9.140625" style="8"/>
    <col min="13323" max="13323" width="10" style="8" bestFit="1" customWidth="1"/>
    <col min="13324" max="13568" width="9.140625" style="8"/>
    <col min="13569" max="13569" width="5.140625" style="8" customWidth="1"/>
    <col min="13570" max="13570" width="38.85546875" style="8" customWidth="1"/>
    <col min="13571" max="13571" width="6.5703125" style="8" customWidth="1"/>
    <col min="13572" max="13572" width="9.42578125" style="8" bestFit="1" customWidth="1"/>
    <col min="13573" max="13573" width="8" style="8" customWidth="1"/>
    <col min="13574" max="13574" width="8.28515625" style="8" customWidth="1"/>
    <col min="13575" max="13575" width="8.140625" style="8" customWidth="1"/>
    <col min="13576" max="13576" width="12.140625" style="8" bestFit="1" customWidth="1"/>
    <col min="13577" max="13577" width="15.85546875" style="8" customWidth="1"/>
    <col min="13578" max="13578" width="9.140625" style="8"/>
    <col min="13579" max="13579" width="10" style="8" bestFit="1" customWidth="1"/>
    <col min="13580" max="13824" width="9.140625" style="8"/>
    <col min="13825" max="13825" width="5.140625" style="8" customWidth="1"/>
    <col min="13826" max="13826" width="38.85546875" style="8" customWidth="1"/>
    <col min="13827" max="13827" width="6.5703125" style="8" customWidth="1"/>
    <col min="13828" max="13828" width="9.42578125" style="8" bestFit="1" customWidth="1"/>
    <col min="13829" max="13829" width="8" style="8" customWidth="1"/>
    <col min="13830" max="13830" width="8.28515625" style="8" customWidth="1"/>
    <col min="13831" max="13831" width="8.140625" style="8" customWidth="1"/>
    <col min="13832" max="13832" width="12.140625" style="8" bestFit="1" customWidth="1"/>
    <col min="13833" max="13833" width="15.85546875" style="8" customWidth="1"/>
    <col min="13834" max="13834" width="9.140625" style="8"/>
    <col min="13835" max="13835" width="10" style="8" bestFit="1" customWidth="1"/>
    <col min="13836" max="14080" width="9.140625" style="8"/>
    <col min="14081" max="14081" width="5.140625" style="8" customWidth="1"/>
    <col min="14082" max="14082" width="38.85546875" style="8" customWidth="1"/>
    <col min="14083" max="14083" width="6.5703125" style="8" customWidth="1"/>
    <col min="14084" max="14084" width="9.42578125" style="8" bestFit="1" customWidth="1"/>
    <col min="14085" max="14085" width="8" style="8" customWidth="1"/>
    <col min="14086" max="14086" width="8.28515625" style="8" customWidth="1"/>
    <col min="14087" max="14087" width="8.140625" style="8" customWidth="1"/>
    <col min="14088" max="14088" width="12.140625" style="8" bestFit="1" customWidth="1"/>
    <col min="14089" max="14089" width="15.85546875" style="8" customWidth="1"/>
    <col min="14090" max="14090" width="9.140625" style="8"/>
    <col min="14091" max="14091" width="10" style="8" bestFit="1" customWidth="1"/>
    <col min="14092" max="14336" width="9.140625" style="8"/>
    <col min="14337" max="14337" width="5.140625" style="8" customWidth="1"/>
    <col min="14338" max="14338" width="38.85546875" style="8" customWidth="1"/>
    <col min="14339" max="14339" width="6.5703125" style="8" customWidth="1"/>
    <col min="14340" max="14340" width="9.42578125" style="8" bestFit="1" customWidth="1"/>
    <col min="14341" max="14341" width="8" style="8" customWidth="1"/>
    <col min="14342" max="14342" width="8.28515625" style="8" customWidth="1"/>
    <col min="14343" max="14343" width="8.140625" style="8" customWidth="1"/>
    <col min="14344" max="14344" width="12.140625" style="8" bestFit="1" customWidth="1"/>
    <col min="14345" max="14345" width="15.85546875" style="8" customWidth="1"/>
    <col min="14346" max="14346" width="9.140625" style="8"/>
    <col min="14347" max="14347" width="10" style="8" bestFit="1" customWidth="1"/>
    <col min="14348" max="14592" width="9.140625" style="8"/>
    <col min="14593" max="14593" width="5.140625" style="8" customWidth="1"/>
    <col min="14594" max="14594" width="38.85546875" style="8" customWidth="1"/>
    <col min="14595" max="14595" width="6.5703125" style="8" customWidth="1"/>
    <col min="14596" max="14596" width="9.42578125" style="8" bestFit="1" customWidth="1"/>
    <col min="14597" max="14597" width="8" style="8" customWidth="1"/>
    <col min="14598" max="14598" width="8.28515625" style="8" customWidth="1"/>
    <col min="14599" max="14599" width="8.140625" style="8" customWidth="1"/>
    <col min="14600" max="14600" width="12.140625" style="8" bestFit="1" customWidth="1"/>
    <col min="14601" max="14601" width="15.85546875" style="8" customWidth="1"/>
    <col min="14602" max="14602" width="9.140625" style="8"/>
    <col min="14603" max="14603" width="10" style="8" bestFit="1" customWidth="1"/>
    <col min="14604" max="14848" width="9.140625" style="8"/>
    <col min="14849" max="14849" width="5.140625" style="8" customWidth="1"/>
    <col min="14850" max="14850" width="38.85546875" style="8" customWidth="1"/>
    <col min="14851" max="14851" width="6.5703125" style="8" customWidth="1"/>
    <col min="14852" max="14852" width="9.42578125" style="8" bestFit="1" customWidth="1"/>
    <col min="14853" max="14853" width="8" style="8" customWidth="1"/>
    <col min="14854" max="14854" width="8.28515625" style="8" customWidth="1"/>
    <col min="14855" max="14855" width="8.140625" style="8" customWidth="1"/>
    <col min="14856" max="14856" width="12.140625" style="8" bestFit="1" customWidth="1"/>
    <col min="14857" max="14857" width="15.85546875" style="8" customWidth="1"/>
    <col min="14858" max="14858" width="9.140625" style="8"/>
    <col min="14859" max="14859" width="10" style="8" bestFit="1" customWidth="1"/>
    <col min="14860" max="15104" width="9.140625" style="8"/>
    <col min="15105" max="15105" width="5.140625" style="8" customWidth="1"/>
    <col min="15106" max="15106" width="38.85546875" style="8" customWidth="1"/>
    <col min="15107" max="15107" width="6.5703125" style="8" customWidth="1"/>
    <col min="15108" max="15108" width="9.42578125" style="8" bestFit="1" customWidth="1"/>
    <col min="15109" max="15109" width="8" style="8" customWidth="1"/>
    <col min="15110" max="15110" width="8.28515625" style="8" customWidth="1"/>
    <col min="15111" max="15111" width="8.140625" style="8" customWidth="1"/>
    <col min="15112" max="15112" width="12.140625" style="8" bestFit="1" customWidth="1"/>
    <col min="15113" max="15113" width="15.85546875" style="8" customWidth="1"/>
    <col min="15114" max="15114" width="9.140625" style="8"/>
    <col min="15115" max="15115" width="10" style="8" bestFit="1" customWidth="1"/>
    <col min="15116" max="15360" width="9.140625" style="8"/>
    <col min="15361" max="15361" width="5.140625" style="8" customWidth="1"/>
    <col min="15362" max="15362" width="38.85546875" style="8" customWidth="1"/>
    <col min="15363" max="15363" width="6.5703125" style="8" customWidth="1"/>
    <col min="15364" max="15364" width="9.42578125" style="8" bestFit="1" customWidth="1"/>
    <col min="15365" max="15365" width="8" style="8" customWidth="1"/>
    <col min="15366" max="15366" width="8.28515625" style="8" customWidth="1"/>
    <col min="15367" max="15367" width="8.140625" style="8" customWidth="1"/>
    <col min="15368" max="15368" width="12.140625" style="8" bestFit="1" customWidth="1"/>
    <col min="15369" max="15369" width="15.85546875" style="8" customWidth="1"/>
    <col min="15370" max="15370" width="9.140625" style="8"/>
    <col min="15371" max="15371" width="10" style="8" bestFit="1" customWidth="1"/>
    <col min="15372" max="15616" width="9.140625" style="8"/>
    <col min="15617" max="15617" width="5.140625" style="8" customWidth="1"/>
    <col min="15618" max="15618" width="38.85546875" style="8" customWidth="1"/>
    <col min="15619" max="15619" width="6.5703125" style="8" customWidth="1"/>
    <col min="15620" max="15620" width="9.42578125" style="8" bestFit="1" customWidth="1"/>
    <col min="15621" max="15621" width="8" style="8" customWidth="1"/>
    <col min="15622" max="15622" width="8.28515625" style="8" customWidth="1"/>
    <col min="15623" max="15623" width="8.140625" style="8" customWidth="1"/>
    <col min="15624" max="15624" width="12.140625" style="8" bestFit="1" customWidth="1"/>
    <col min="15625" max="15625" width="15.85546875" style="8" customWidth="1"/>
    <col min="15626" max="15626" width="9.140625" style="8"/>
    <col min="15627" max="15627" width="10" style="8" bestFit="1" customWidth="1"/>
    <col min="15628" max="15872" width="9.140625" style="8"/>
    <col min="15873" max="15873" width="5.140625" style="8" customWidth="1"/>
    <col min="15874" max="15874" width="38.85546875" style="8" customWidth="1"/>
    <col min="15875" max="15875" width="6.5703125" style="8" customWidth="1"/>
    <col min="15876" max="15876" width="9.42578125" style="8" bestFit="1" customWidth="1"/>
    <col min="15877" max="15877" width="8" style="8" customWidth="1"/>
    <col min="15878" max="15878" width="8.28515625" style="8" customWidth="1"/>
    <col min="15879" max="15879" width="8.140625" style="8" customWidth="1"/>
    <col min="15880" max="15880" width="12.140625" style="8" bestFit="1" customWidth="1"/>
    <col min="15881" max="15881" width="15.85546875" style="8" customWidth="1"/>
    <col min="15882" max="15882" width="9.140625" style="8"/>
    <col min="15883" max="15883" width="10" style="8" bestFit="1" customWidth="1"/>
    <col min="15884" max="16128" width="9.140625" style="8"/>
    <col min="16129" max="16129" width="5.140625" style="8" customWidth="1"/>
    <col min="16130" max="16130" width="38.85546875" style="8" customWidth="1"/>
    <col min="16131" max="16131" width="6.5703125" style="8" customWidth="1"/>
    <col min="16132" max="16132" width="9.42578125" style="8" bestFit="1" customWidth="1"/>
    <col min="16133" max="16133" width="8" style="8" customWidth="1"/>
    <col min="16134" max="16134" width="8.28515625" style="8" customWidth="1"/>
    <col min="16135" max="16135" width="8.140625" style="8" customWidth="1"/>
    <col min="16136" max="16136" width="12.140625" style="8" bestFit="1" customWidth="1"/>
    <col min="16137" max="16137" width="15.85546875" style="8" customWidth="1"/>
    <col min="16138" max="16138" width="9.140625" style="8"/>
    <col min="16139" max="16139" width="10" style="8" bestFit="1" customWidth="1"/>
    <col min="16140" max="16384" width="9.140625" style="8"/>
  </cols>
  <sheetData>
    <row r="1" spans="2:10" ht="13.5" thickBot="1">
      <c r="B1" s="765"/>
      <c r="C1" s="765"/>
      <c r="D1" s="765"/>
      <c r="E1" s="765"/>
      <c r="F1" s="765"/>
      <c r="G1" s="765"/>
      <c r="H1" s="765"/>
      <c r="I1" s="765"/>
    </row>
    <row r="2" spans="2:10" ht="25.5" customHeight="1">
      <c r="B2" s="609" t="str">
        <f>DADOS!D28</f>
        <v>TRECHO CONTORNO LESTE DA BR-158/MT - REQUERIMENTO DE LI</v>
      </c>
      <c r="C2" s="610"/>
      <c r="D2" s="610"/>
      <c r="E2" s="610"/>
      <c r="F2" s="610"/>
      <c r="G2" s="610"/>
      <c r="H2" s="610"/>
      <c r="I2" s="611"/>
    </row>
    <row r="3" spans="2:10" ht="16.5" customHeight="1">
      <c r="B3" s="695" t="s">
        <v>283</v>
      </c>
      <c r="C3" s="766"/>
      <c r="D3" s="766"/>
      <c r="E3" s="766"/>
      <c r="F3" s="766"/>
      <c r="G3" s="766"/>
      <c r="H3" s="766"/>
      <c r="I3" s="767"/>
    </row>
    <row r="4" spans="2:10">
      <c r="B4" s="768">
        <f>DADOS!E30</f>
        <v>43831</v>
      </c>
      <c r="C4" s="769"/>
      <c r="D4" s="769"/>
      <c r="E4" s="769"/>
      <c r="F4" s="769"/>
      <c r="G4" s="769"/>
      <c r="H4" s="769"/>
      <c r="I4" s="770"/>
    </row>
    <row r="5" spans="2:10">
      <c r="B5" s="771" t="s">
        <v>37</v>
      </c>
      <c r="C5" s="772"/>
      <c r="D5" s="772"/>
      <c r="E5" s="772"/>
      <c r="F5" s="772"/>
      <c r="G5" s="772"/>
      <c r="H5" s="772"/>
      <c r="I5" s="773"/>
    </row>
    <row r="6" spans="2:10">
      <c r="B6" s="752" t="s">
        <v>51</v>
      </c>
      <c r="C6" s="753"/>
      <c r="D6" s="75" t="s">
        <v>32</v>
      </c>
      <c r="E6" s="605" t="s">
        <v>30</v>
      </c>
      <c r="F6" s="605"/>
      <c r="G6" s="606"/>
      <c r="H6" s="605" t="s">
        <v>52</v>
      </c>
      <c r="I6" s="764"/>
    </row>
    <row r="7" spans="2:10">
      <c r="B7" s="752" t="s">
        <v>572</v>
      </c>
      <c r="C7" s="753"/>
      <c r="D7" s="73"/>
      <c r="E7" s="73"/>
      <c r="F7" s="73"/>
      <c r="G7" s="73"/>
      <c r="H7" s="96"/>
      <c r="I7" s="97"/>
    </row>
    <row r="8" spans="2:10">
      <c r="B8" s="74" t="s">
        <v>55</v>
      </c>
      <c r="C8" s="75" t="s">
        <v>568</v>
      </c>
      <c r="D8" s="365" t="s">
        <v>46</v>
      </c>
      <c r="E8" s="365" t="s">
        <v>57</v>
      </c>
      <c r="F8" s="365" t="s">
        <v>197</v>
      </c>
      <c r="G8" s="365" t="s">
        <v>49</v>
      </c>
      <c r="H8" s="365" t="s">
        <v>54</v>
      </c>
      <c r="I8" s="367" t="s">
        <v>14</v>
      </c>
    </row>
    <row r="9" spans="2:10">
      <c r="B9" s="373" t="s">
        <v>269</v>
      </c>
      <c r="C9" s="92" t="str">
        <f>DADOS_CONSULT!A22</f>
        <v>P8034</v>
      </c>
      <c r="D9" s="78" t="s">
        <v>216</v>
      </c>
      <c r="E9" s="366">
        <v>1</v>
      </c>
      <c r="F9" s="366">
        <v>20</v>
      </c>
      <c r="G9" s="366">
        <f>F9*E9</f>
        <v>20</v>
      </c>
      <c r="H9" s="92">
        <f>DADOS_CONSULT!$D$22/22</f>
        <v>275.34090909090907</v>
      </c>
      <c r="I9" s="389">
        <f>H9*G9</f>
        <v>5506.8181818181811</v>
      </c>
    </row>
    <row r="10" spans="2:10">
      <c r="B10" s="387" t="s">
        <v>255</v>
      </c>
      <c r="C10" s="75"/>
      <c r="D10" s="368"/>
      <c r="E10" s="368"/>
      <c r="F10" s="368"/>
      <c r="G10" s="368"/>
      <c r="H10" s="368"/>
      <c r="I10" s="389"/>
    </row>
    <row r="11" spans="2:10">
      <c r="B11" s="278" t="s">
        <v>284</v>
      </c>
      <c r="C11" s="92" t="str">
        <f>DADOS_CONSULT!A21</f>
        <v>P8033</v>
      </c>
      <c r="D11" s="277" t="s">
        <v>195</v>
      </c>
      <c r="E11" s="276">
        <v>1</v>
      </c>
      <c r="F11" s="276">
        <v>10</v>
      </c>
      <c r="G11" s="276">
        <f>F11*E11</f>
        <v>10</v>
      </c>
      <c r="H11" s="275">
        <f>DADOS_CONSULT!$D$21/22</f>
        <v>171.90454545454546</v>
      </c>
      <c r="I11" s="274">
        <f>H11*G11</f>
        <v>1719.0454545454545</v>
      </c>
    </row>
    <row r="12" spans="2:10" ht="13.5" thickBot="1">
      <c r="B12" s="273" t="s">
        <v>74</v>
      </c>
      <c r="C12" s="271" t="str">
        <f>DADOS_CONSULT!A16</f>
        <v>P8025</v>
      </c>
      <c r="D12" s="277" t="s">
        <v>195</v>
      </c>
      <c r="E12" s="271">
        <v>1</v>
      </c>
      <c r="F12" s="276">
        <v>10</v>
      </c>
      <c r="G12" s="271">
        <f>F12*E12</f>
        <v>10</v>
      </c>
      <c r="H12" s="231">
        <f>DADOS_CONSULT!$D$16/22</f>
        <v>54.499545454545455</v>
      </c>
      <c r="I12" s="379">
        <f t="shared" ref="I12" si="0">H12*G12</f>
        <v>544.99545454545455</v>
      </c>
    </row>
    <row r="13" spans="2:10" ht="13.5" thickBot="1">
      <c r="B13" s="476" t="s">
        <v>557</v>
      </c>
      <c r="C13" s="92"/>
      <c r="D13" s="78"/>
      <c r="E13" s="366"/>
      <c r="F13" s="366"/>
      <c r="G13" s="366"/>
      <c r="H13" s="388"/>
      <c r="I13" s="390">
        <f>SUM(I9:I12)</f>
        <v>7770.8590909090908</v>
      </c>
      <c r="J13" s="8">
        <v>13</v>
      </c>
    </row>
    <row r="14" spans="2:10">
      <c r="B14" s="774"/>
      <c r="C14" s="687"/>
      <c r="D14" s="687"/>
      <c r="E14" s="687"/>
      <c r="F14" s="687"/>
      <c r="G14" s="687"/>
      <c r="H14" s="687"/>
      <c r="I14" s="623"/>
    </row>
    <row r="15" spans="2:10">
      <c r="B15" s="74" t="s">
        <v>562</v>
      </c>
      <c r="C15" s="73"/>
      <c r="D15" s="449"/>
      <c r="E15" s="449"/>
      <c r="F15" s="449"/>
      <c r="G15" s="449"/>
      <c r="H15" s="166"/>
      <c r="I15" s="511"/>
    </row>
    <row r="16" spans="2:10">
      <c r="B16" s="486" t="s">
        <v>269</v>
      </c>
      <c r="C16" s="73"/>
      <c r="D16" s="449"/>
      <c r="E16" s="449"/>
      <c r="F16" s="449"/>
      <c r="G16" s="80">
        <f>DADOS_CONSULT!W22/100</f>
        <v>0.93090000000000006</v>
      </c>
      <c r="H16" s="485"/>
      <c r="I16" s="389">
        <f>G16*I9</f>
        <v>5126.2970454545448</v>
      </c>
    </row>
    <row r="17" spans="2:10">
      <c r="B17" s="278" t="s">
        <v>284</v>
      </c>
      <c r="C17" s="73"/>
      <c r="D17" s="449"/>
      <c r="E17" s="449"/>
      <c r="F17" s="449"/>
      <c r="G17" s="80">
        <f>DADOS_CONSULT!W21/100</f>
        <v>1.0064</v>
      </c>
      <c r="H17" s="485"/>
      <c r="I17" s="389">
        <f>G17*I11</f>
        <v>1730.0473454545454</v>
      </c>
    </row>
    <row r="18" spans="2:10" ht="13.5" thickBot="1">
      <c r="B18" s="273" t="s">
        <v>74</v>
      </c>
      <c r="C18" s="73"/>
      <c r="D18" s="449"/>
      <c r="E18" s="449"/>
      <c r="F18" s="449"/>
      <c r="G18" s="80">
        <f>DADOS_CONSULT!W16/100</f>
        <v>1.5485</v>
      </c>
      <c r="H18" s="485"/>
      <c r="I18" s="389">
        <f>G18*I12</f>
        <v>843.92546136363637</v>
      </c>
    </row>
    <row r="19" spans="2:10" ht="13.5" thickBot="1">
      <c r="B19" s="476" t="s">
        <v>558</v>
      </c>
      <c r="C19" s="73"/>
      <c r="D19" s="449"/>
      <c r="E19" s="449"/>
      <c r="F19" s="449"/>
      <c r="G19" s="80"/>
      <c r="H19" s="485"/>
      <c r="I19" s="482">
        <f>SUM(I16:I18)</f>
        <v>7700.2698522727269</v>
      </c>
      <c r="J19" s="8">
        <v>19</v>
      </c>
    </row>
    <row r="20" spans="2:10">
      <c r="B20" s="775"/>
      <c r="C20" s="776"/>
      <c r="D20" s="776"/>
      <c r="E20" s="776"/>
      <c r="F20" s="776"/>
      <c r="G20" s="776"/>
      <c r="H20" s="776"/>
      <c r="I20" s="777"/>
    </row>
    <row r="21" spans="2:10">
      <c r="B21" s="270" t="s">
        <v>573</v>
      </c>
      <c r="C21" s="73"/>
      <c r="D21" s="68" t="s">
        <v>56</v>
      </c>
      <c r="E21" s="448" t="s">
        <v>57</v>
      </c>
      <c r="F21" s="448" t="s">
        <v>60</v>
      </c>
      <c r="G21" s="448" t="s">
        <v>49</v>
      </c>
      <c r="H21" s="448" t="s">
        <v>54</v>
      </c>
      <c r="I21" s="512" t="s">
        <v>14</v>
      </c>
    </row>
    <row r="22" spans="2:10">
      <c r="B22" s="486" t="s">
        <v>241</v>
      </c>
      <c r="C22" s="268"/>
      <c r="D22" s="452"/>
      <c r="E22" s="487">
        <v>10</v>
      </c>
      <c r="F22" s="462">
        <v>1</v>
      </c>
      <c r="G22" s="462" t="s">
        <v>242</v>
      </c>
      <c r="H22" s="504">
        <f>DADOS!C51</f>
        <v>250</v>
      </c>
      <c r="I22" s="489">
        <f>E22*F22*H22</f>
        <v>2500</v>
      </c>
    </row>
    <row r="23" spans="2:10">
      <c r="B23" s="278" t="s">
        <v>578</v>
      </c>
      <c r="C23" s="268"/>
      <c r="D23" s="376"/>
      <c r="E23" s="487">
        <v>1</v>
      </c>
      <c r="F23" s="462">
        <v>10</v>
      </c>
      <c r="G23" s="462" t="s">
        <v>270</v>
      </c>
      <c r="H23" s="504">
        <f>DADOS_CONSULT!$AG$36</f>
        <v>177</v>
      </c>
      <c r="I23" s="489">
        <f>E23*F23*H23</f>
        <v>1770</v>
      </c>
    </row>
    <row r="24" spans="2:10" ht="13.5" thickBot="1">
      <c r="B24" s="273" t="s">
        <v>577</v>
      </c>
      <c r="C24" s="268"/>
      <c r="D24" s="376"/>
      <c r="E24" s="487">
        <v>1</v>
      </c>
      <c r="F24" s="462">
        <v>10</v>
      </c>
      <c r="G24" s="462" t="s">
        <v>270</v>
      </c>
      <c r="H24" s="504">
        <f>DADOS_CONSULT!$AG$36</f>
        <v>177</v>
      </c>
      <c r="I24" s="489">
        <f>E24*F24*H24</f>
        <v>1770</v>
      </c>
    </row>
    <row r="25" spans="2:10" ht="13.5" thickBot="1">
      <c r="B25" s="363"/>
      <c r="C25" s="268"/>
      <c r="D25" s="452"/>
      <c r="E25" s="487"/>
      <c r="F25" s="462"/>
      <c r="G25" s="462"/>
      <c r="H25" s="505"/>
      <c r="I25" s="506">
        <f>SUM(I22:I24)</f>
        <v>6040</v>
      </c>
      <c r="J25" s="8">
        <v>25</v>
      </c>
    </row>
    <row r="26" spans="2:10">
      <c r="B26" s="74" t="s">
        <v>150</v>
      </c>
      <c r="C26" s="73"/>
      <c r="D26" s="448"/>
      <c r="E26" s="448" t="s">
        <v>48</v>
      </c>
      <c r="F26" s="448" t="s">
        <v>60</v>
      </c>
      <c r="G26" s="448" t="s">
        <v>552</v>
      </c>
      <c r="H26" s="448" t="s">
        <v>54</v>
      </c>
      <c r="I26" s="450" t="s">
        <v>14</v>
      </c>
    </row>
    <row r="27" spans="2:10" ht="13.5" thickBot="1">
      <c r="B27" s="64" t="str">
        <f>DADOS!H10</f>
        <v>CAMINHONETE - 140 A 165 CV</v>
      </c>
      <c r="C27" s="73"/>
      <c r="D27" s="449"/>
      <c r="E27" s="449">
        <v>1</v>
      </c>
      <c r="F27" s="449">
        <v>10</v>
      </c>
      <c r="G27" s="87">
        <f>F27*E27*8</f>
        <v>80</v>
      </c>
      <c r="H27" s="166">
        <f>DADOS_CONSULT!AF13</f>
        <v>46.14</v>
      </c>
      <c r="I27" s="495">
        <f>H27*G27</f>
        <v>3691.2</v>
      </c>
    </row>
    <row r="28" spans="2:10" ht="13.5" thickBot="1">
      <c r="B28" s="451"/>
      <c r="C28" s="513"/>
      <c r="D28" s="513"/>
      <c r="E28" s="513"/>
      <c r="F28" s="513"/>
      <c r="G28" s="513"/>
      <c r="H28" s="514"/>
      <c r="I28" s="515">
        <f>I27</f>
        <v>3691.2</v>
      </c>
      <c r="J28" s="8">
        <v>28</v>
      </c>
    </row>
    <row r="29" spans="2:10">
      <c r="B29" s="476" t="s">
        <v>559</v>
      </c>
      <c r="C29" s="513"/>
      <c r="D29" s="513"/>
      <c r="E29" s="513"/>
      <c r="F29" s="513"/>
      <c r="G29" s="513"/>
      <c r="H29" s="513"/>
      <c r="I29" s="516">
        <f>I25+I28</f>
        <v>9731.2000000000007</v>
      </c>
      <c r="J29" s="8">
        <v>29</v>
      </c>
    </row>
    <row r="30" spans="2:10" ht="12" customHeight="1">
      <c r="B30" s="778"/>
      <c r="C30" s="779"/>
      <c r="D30" s="779"/>
      <c r="E30" s="779"/>
      <c r="F30" s="779"/>
      <c r="G30" s="779"/>
      <c r="H30" s="779"/>
      <c r="I30" s="780"/>
    </row>
    <row r="31" spans="2:10" ht="13.5" thickBot="1">
      <c r="B31" s="781" t="s">
        <v>76</v>
      </c>
      <c r="C31" s="782"/>
      <c r="D31" s="782"/>
      <c r="E31" s="782"/>
      <c r="F31" s="782"/>
      <c r="G31" s="782"/>
      <c r="H31" s="783"/>
      <c r="I31" s="81">
        <f>I13+I19+I29</f>
        <v>25202.328943181819</v>
      </c>
      <c r="J31" s="8">
        <v>31</v>
      </c>
    </row>
    <row r="32" spans="2:10">
      <c r="B32" s="784"/>
      <c r="C32" s="785"/>
      <c r="D32" s="785"/>
      <c r="E32" s="785"/>
      <c r="F32" s="785"/>
      <c r="G32" s="785"/>
      <c r="H32" s="785"/>
      <c r="I32" s="786"/>
    </row>
    <row r="33" spans="2:10">
      <c r="B33" s="719" t="s">
        <v>38</v>
      </c>
      <c r="C33" s="720"/>
      <c r="D33" s="721"/>
      <c r="E33" s="432"/>
      <c r="F33" s="432"/>
      <c r="G33" s="433"/>
      <c r="H33" s="434"/>
      <c r="I33" s="435"/>
    </row>
    <row r="34" spans="2:10">
      <c r="B34" s="469" t="s">
        <v>561</v>
      </c>
      <c r="C34" s="472"/>
      <c r="D34" s="474"/>
      <c r="E34" s="472"/>
      <c r="F34" s="472"/>
      <c r="G34" s="470"/>
      <c r="H34" s="472"/>
      <c r="I34" s="435"/>
    </row>
    <row r="35" spans="2:10">
      <c r="B35" s="473" t="s">
        <v>553</v>
      </c>
      <c r="C35" s="472"/>
      <c r="D35" s="474"/>
      <c r="E35" s="472"/>
      <c r="F35" s="472"/>
      <c r="G35" s="471">
        <v>0.1</v>
      </c>
      <c r="H35" s="472"/>
      <c r="I35" s="460">
        <f>G35*$I$31</f>
        <v>2520.2328943181819</v>
      </c>
    </row>
    <row r="36" spans="2:10">
      <c r="B36" s="473" t="s">
        <v>554</v>
      </c>
      <c r="C36" s="472"/>
      <c r="D36" s="474"/>
      <c r="E36" s="472"/>
      <c r="F36" s="472"/>
      <c r="G36" s="471">
        <v>2.5000000000000001E-3</v>
      </c>
      <c r="H36" s="472"/>
      <c r="I36" s="460">
        <f>G36*$I$31</f>
        <v>63.00582235795455</v>
      </c>
    </row>
    <row r="37" spans="2:10">
      <c r="B37" s="473" t="s">
        <v>555</v>
      </c>
      <c r="C37" s="472"/>
      <c r="D37" s="474"/>
      <c r="E37" s="472"/>
      <c r="F37" s="472"/>
      <c r="G37" s="471">
        <v>7.1999999999999998E-3</v>
      </c>
      <c r="H37" s="472"/>
      <c r="I37" s="460">
        <f>G37*$I$31</f>
        <v>181.4567683909091</v>
      </c>
    </row>
    <row r="38" spans="2:10">
      <c r="B38" s="473" t="s">
        <v>556</v>
      </c>
      <c r="C38" s="472"/>
      <c r="D38" s="474"/>
      <c r="E38" s="472"/>
      <c r="F38" s="472"/>
      <c r="G38" s="471">
        <v>1.4E-3</v>
      </c>
      <c r="H38" s="472"/>
      <c r="I38" s="460">
        <f>G38*$I$31</f>
        <v>35.283260520454547</v>
      </c>
    </row>
    <row r="39" spans="2:10">
      <c r="B39" s="458" t="s">
        <v>560</v>
      </c>
      <c r="C39" s="472"/>
      <c r="D39" s="474"/>
      <c r="E39" s="472"/>
      <c r="F39" s="472"/>
      <c r="G39" s="471">
        <v>0.1111</v>
      </c>
      <c r="H39" s="472"/>
      <c r="I39" s="122">
        <f>SUM(I35:I38)</f>
        <v>2799.9787455874998</v>
      </c>
      <c r="J39" s="8">
        <v>39</v>
      </c>
    </row>
    <row r="40" spans="2:10">
      <c r="B40" s="469"/>
      <c r="C40" s="472"/>
      <c r="D40" s="474"/>
      <c r="E40" s="472"/>
      <c r="F40" s="472"/>
      <c r="G40" s="472"/>
      <c r="H40" s="472"/>
      <c r="I40" s="435"/>
    </row>
    <row r="41" spans="2:10">
      <c r="B41" s="469" t="s">
        <v>563</v>
      </c>
      <c r="C41" s="472"/>
      <c r="D41" s="474"/>
      <c r="E41" s="472"/>
      <c r="F41" s="472"/>
      <c r="G41" s="472"/>
      <c r="H41" s="472"/>
      <c r="I41" s="435"/>
    </row>
    <row r="42" spans="2:10">
      <c r="B42" s="469" t="s">
        <v>574</v>
      </c>
      <c r="C42" s="472"/>
      <c r="D42" s="474"/>
      <c r="E42" s="472"/>
      <c r="F42" s="472"/>
      <c r="G42" s="471">
        <v>0.12</v>
      </c>
      <c r="H42" s="472"/>
      <c r="I42" s="459">
        <f>G42*I31</f>
        <v>3024.279473181818</v>
      </c>
      <c r="J42" s="8">
        <v>42</v>
      </c>
    </row>
    <row r="43" spans="2:10">
      <c r="B43" s="469"/>
      <c r="C43" s="472"/>
      <c r="D43" s="474"/>
      <c r="E43" s="472"/>
      <c r="F43" s="472"/>
      <c r="G43" s="472"/>
      <c r="H43" s="472"/>
      <c r="I43" s="435"/>
    </row>
    <row r="44" spans="2:10">
      <c r="B44" s="469" t="s">
        <v>564</v>
      </c>
      <c r="C44" s="472"/>
      <c r="D44" s="474"/>
      <c r="E44" s="472"/>
      <c r="F44" s="472"/>
      <c r="G44" s="471"/>
      <c r="H44" s="472"/>
      <c r="I44" s="435"/>
    </row>
    <row r="45" spans="2:10">
      <c r="B45" s="473" t="s">
        <v>565</v>
      </c>
      <c r="C45" s="472"/>
      <c r="D45" s="474"/>
      <c r="E45" s="472"/>
      <c r="F45" s="472"/>
      <c r="G45" s="471">
        <v>2.3699999999999999E-2</v>
      </c>
      <c r="H45" s="472"/>
      <c r="I45" s="460">
        <f>G45*$I$31</f>
        <v>597.29519595340912</v>
      </c>
    </row>
    <row r="46" spans="2:10">
      <c r="B46" s="473" t="s">
        <v>566</v>
      </c>
      <c r="C46" s="472"/>
      <c r="D46" s="474"/>
      <c r="E46" s="472"/>
      <c r="F46" s="472"/>
      <c r="G46" s="471">
        <v>0.1091</v>
      </c>
      <c r="H46" s="472"/>
      <c r="I46" s="460">
        <f>G46*$I$31</f>
        <v>2749.5740877011367</v>
      </c>
    </row>
    <row r="47" spans="2:10">
      <c r="B47" s="473" t="s">
        <v>567</v>
      </c>
      <c r="C47" s="472"/>
      <c r="D47" s="474"/>
      <c r="E47" s="472"/>
      <c r="F47" s="472"/>
      <c r="G47" s="471">
        <v>7.1800000000000003E-2</v>
      </c>
      <c r="H47" s="472"/>
      <c r="I47" s="460">
        <f>G47*$I$31</f>
        <v>1809.5272181204548</v>
      </c>
    </row>
    <row r="48" spans="2:10">
      <c r="B48" s="469"/>
      <c r="C48" s="472"/>
      <c r="D48" s="474"/>
      <c r="E48" s="472"/>
      <c r="F48" s="472"/>
      <c r="G48" s="470"/>
      <c r="H48" s="472"/>
      <c r="I48" s="122">
        <f>SUM(I45:I47)</f>
        <v>5156.3965017750006</v>
      </c>
      <c r="J48" s="8">
        <v>48</v>
      </c>
    </row>
    <row r="49" spans="2:13">
      <c r="B49" s="722"/>
      <c r="C49" s="723"/>
      <c r="D49" s="723"/>
      <c r="E49" s="723"/>
      <c r="F49" s="723"/>
      <c r="G49" s="723"/>
      <c r="H49" s="723"/>
      <c r="I49" s="724"/>
    </row>
    <row r="50" spans="2:13">
      <c r="B50" s="725" t="s">
        <v>166</v>
      </c>
      <c r="C50" s="726"/>
      <c r="D50" s="726"/>
      <c r="E50" s="726"/>
      <c r="F50" s="726"/>
      <c r="G50" s="726"/>
      <c r="H50" s="726"/>
      <c r="I50" s="192">
        <f>I39+I42+I48</f>
        <v>10980.654720544318</v>
      </c>
      <c r="J50" s="8">
        <v>50</v>
      </c>
    </row>
    <row r="51" spans="2:13">
      <c r="B51" s="727"/>
      <c r="C51" s="728"/>
      <c r="D51" s="728"/>
      <c r="E51" s="728"/>
      <c r="F51" s="728"/>
      <c r="G51" s="728"/>
      <c r="H51" s="728"/>
      <c r="I51" s="729"/>
    </row>
    <row r="52" spans="2:13">
      <c r="B52" s="727"/>
      <c r="C52" s="728"/>
      <c r="D52" s="728"/>
      <c r="E52" s="728"/>
      <c r="F52" s="728"/>
      <c r="G52" s="728"/>
      <c r="H52" s="728"/>
      <c r="I52" s="729"/>
    </row>
    <row r="53" spans="2:13" ht="14.25" customHeight="1" thickBot="1">
      <c r="B53" s="730" t="s">
        <v>167</v>
      </c>
      <c r="C53" s="731"/>
      <c r="D53" s="731"/>
      <c r="E53" s="731"/>
      <c r="F53" s="731"/>
      <c r="G53" s="731"/>
      <c r="H53" s="731"/>
      <c r="I53" s="81">
        <f>I31+I50</f>
        <v>36182.98366372614</v>
      </c>
    </row>
    <row r="54" spans="2:13" ht="13.5" thickBot="1">
      <c r="B54" s="306"/>
      <c r="C54" s="307"/>
      <c r="D54" s="307"/>
      <c r="E54" s="307"/>
      <c r="F54" s="307"/>
      <c r="G54" s="307"/>
      <c r="H54" s="307"/>
      <c r="I54" s="308"/>
    </row>
    <row r="55" spans="2:13">
      <c r="B55" s="787" t="s">
        <v>271</v>
      </c>
      <c r="C55" s="788"/>
      <c r="D55" s="788"/>
      <c r="E55" s="788"/>
      <c r="F55" s="788"/>
      <c r="G55" s="788"/>
      <c r="H55" s="788"/>
      <c r="I55" s="789"/>
    </row>
    <row r="56" spans="2:13">
      <c r="B56" s="302"/>
      <c r="C56" s="303"/>
      <c r="D56" s="303"/>
      <c r="E56" s="303"/>
      <c r="F56" s="303"/>
      <c r="G56" s="303"/>
      <c r="H56" s="303"/>
      <c r="I56" s="304"/>
    </row>
    <row r="57" spans="2:13">
      <c r="B57" s="305"/>
      <c r="C57" s="303"/>
      <c r="D57" s="303"/>
      <c r="E57" s="303"/>
      <c r="F57" s="303"/>
      <c r="G57" s="303"/>
      <c r="H57" s="303"/>
      <c r="I57" s="304"/>
    </row>
    <row r="58" spans="2:13">
      <c r="B58" s="790"/>
      <c r="C58" s="791"/>
      <c r="D58" s="791"/>
      <c r="E58" s="791"/>
      <c r="F58" s="791"/>
      <c r="G58" s="791"/>
      <c r="H58" s="791"/>
      <c r="I58" s="792"/>
    </row>
    <row r="59" spans="2:13" ht="15.75" customHeight="1">
      <c r="B59" s="793"/>
      <c r="C59" s="794"/>
      <c r="D59" s="794"/>
      <c r="E59" s="794"/>
      <c r="F59" s="794"/>
      <c r="G59" s="794"/>
      <c r="H59" s="794"/>
      <c r="I59" s="795"/>
    </row>
    <row r="60" spans="2:13" ht="13.5" thickBot="1">
      <c r="B60" s="99"/>
      <c r="C60" s="100"/>
      <c r="D60" s="100"/>
      <c r="E60" s="100"/>
      <c r="F60" s="100"/>
      <c r="G60" s="100"/>
      <c r="H60" s="100"/>
      <c r="I60" s="101"/>
      <c r="J60" s="98"/>
      <c r="K60" s="98"/>
      <c r="L60" s="98"/>
      <c r="M60" s="98"/>
    </row>
  </sheetData>
  <mergeCells count="23">
    <mergeCell ref="B55:I55"/>
    <mergeCell ref="B58:I58"/>
    <mergeCell ref="B59:I59"/>
    <mergeCell ref="B52:I52"/>
    <mergeCell ref="B53:H53"/>
    <mergeCell ref="B50:H50"/>
    <mergeCell ref="B51:I51"/>
    <mergeCell ref="B7:C7"/>
    <mergeCell ref="B14:I14"/>
    <mergeCell ref="B20:I20"/>
    <mergeCell ref="B30:I30"/>
    <mergeCell ref="B31:H31"/>
    <mergeCell ref="B32:I32"/>
    <mergeCell ref="B33:D33"/>
    <mergeCell ref="B49:I49"/>
    <mergeCell ref="B6:C6"/>
    <mergeCell ref="E6:G6"/>
    <mergeCell ref="H6:I6"/>
    <mergeCell ref="B1:I1"/>
    <mergeCell ref="B2:I2"/>
    <mergeCell ref="B3:I3"/>
    <mergeCell ref="B4:I4"/>
    <mergeCell ref="B5:I5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topLeftCell="A31" zoomScaleNormal="100" workbookViewId="0">
      <selection activeCell="I52" sqref="I52"/>
    </sheetView>
  </sheetViews>
  <sheetFormatPr defaultRowHeight="12.75"/>
  <cols>
    <col min="1" max="1" width="4.85546875" style="264" customWidth="1"/>
    <col min="2" max="2" width="47" style="264" customWidth="1"/>
    <col min="3" max="3" width="9.140625" style="264"/>
    <col min="4" max="4" width="10" style="264" customWidth="1"/>
    <col min="5" max="7" width="9.140625" style="264"/>
    <col min="8" max="8" width="13.5703125" style="264" customWidth="1"/>
    <col min="9" max="9" width="16.5703125" style="264" customWidth="1"/>
    <col min="10" max="16384" width="9.140625" style="264"/>
  </cols>
  <sheetData>
    <row r="1" spans="1:10" ht="13.5" thickBot="1">
      <c r="B1" s="736"/>
      <c r="C1" s="736"/>
      <c r="D1" s="736"/>
      <c r="E1" s="736"/>
      <c r="F1" s="736"/>
      <c r="G1" s="736"/>
      <c r="H1" s="736"/>
      <c r="I1" s="736"/>
    </row>
    <row r="2" spans="1:10" ht="20.25" customHeight="1">
      <c r="B2" s="737" t="str">
        <f>DADOS!D28</f>
        <v>TRECHO CONTORNO LESTE DA BR-158/MT - REQUERIMENTO DE LI</v>
      </c>
      <c r="C2" s="738"/>
      <c r="D2" s="738"/>
      <c r="E2" s="738"/>
      <c r="F2" s="738"/>
      <c r="G2" s="738"/>
      <c r="H2" s="738"/>
      <c r="I2" s="739"/>
    </row>
    <row r="3" spans="1:10" ht="16.5" customHeight="1">
      <c r="B3" s="740" t="s">
        <v>319</v>
      </c>
      <c r="C3" s="741"/>
      <c r="D3" s="741"/>
      <c r="E3" s="741"/>
      <c r="F3" s="741"/>
      <c r="G3" s="741"/>
      <c r="H3" s="741"/>
      <c r="I3" s="742"/>
    </row>
    <row r="4" spans="1:10">
      <c r="B4" s="281">
        <f>DADOS!E30</f>
        <v>43831</v>
      </c>
      <c r="C4" s="743"/>
      <c r="D4" s="744"/>
      <c r="E4" s="744"/>
      <c r="F4" s="744"/>
      <c r="G4" s="744"/>
      <c r="H4" s="744"/>
      <c r="I4" s="745"/>
    </row>
    <row r="5" spans="1:10">
      <c r="B5" s="280" t="s">
        <v>37</v>
      </c>
      <c r="C5" s="746"/>
      <c r="D5" s="744"/>
      <c r="E5" s="744"/>
      <c r="F5" s="744"/>
      <c r="G5" s="744"/>
      <c r="H5" s="744"/>
      <c r="I5" s="745"/>
    </row>
    <row r="6" spans="1:10" ht="15" customHeight="1">
      <c r="B6" s="747" t="s">
        <v>51</v>
      </c>
      <c r="C6" s="748"/>
      <c r="D6" s="279"/>
      <c r="E6" s="749" t="s">
        <v>30</v>
      </c>
      <c r="F6" s="749"/>
      <c r="G6" s="750"/>
      <c r="H6" s="749" t="s">
        <v>52</v>
      </c>
      <c r="I6" s="751"/>
    </row>
    <row r="7" spans="1:10" ht="12.75" customHeight="1">
      <c r="B7" s="752" t="s">
        <v>572</v>
      </c>
      <c r="C7" s="753"/>
      <c r="D7" s="268"/>
      <c r="E7" s="268"/>
      <c r="F7" s="268"/>
      <c r="G7" s="268"/>
      <c r="H7" s="368"/>
      <c r="I7" s="269"/>
    </row>
    <row r="8" spans="1:10">
      <c r="B8" s="270" t="s">
        <v>55</v>
      </c>
      <c r="C8" s="75" t="s">
        <v>568</v>
      </c>
      <c r="D8" s="368" t="s">
        <v>46</v>
      </c>
      <c r="E8" s="368" t="s">
        <v>57</v>
      </c>
      <c r="F8" s="368" t="s">
        <v>61</v>
      </c>
      <c r="G8" s="368" t="s">
        <v>49</v>
      </c>
      <c r="H8" s="368" t="s">
        <v>54</v>
      </c>
      <c r="I8" s="269" t="s">
        <v>14</v>
      </c>
    </row>
    <row r="9" spans="1:10">
      <c r="B9" s="373" t="s">
        <v>279</v>
      </c>
      <c r="C9" s="276" t="str">
        <f>DADOS_CONSULT!A72</f>
        <v>P8125</v>
      </c>
      <c r="D9" s="277" t="s">
        <v>202</v>
      </c>
      <c r="E9" s="276">
        <v>1</v>
      </c>
      <c r="F9" s="276">
        <v>1</v>
      </c>
      <c r="G9" s="276">
        <f>F9*E9</f>
        <v>1</v>
      </c>
      <c r="H9" s="275">
        <f>DADOS_CONSULT!D72</f>
        <v>6355.79</v>
      </c>
      <c r="I9" s="274">
        <f>H9*G9</f>
        <v>6355.79</v>
      </c>
    </row>
    <row r="10" spans="1:10" ht="14.25" customHeight="1">
      <c r="A10" s="397"/>
      <c r="B10" s="395" t="s">
        <v>236</v>
      </c>
      <c r="C10" s="75"/>
      <c r="D10" s="368"/>
      <c r="E10" s="368"/>
      <c r="F10" s="368"/>
      <c r="G10" s="368"/>
      <c r="H10" s="368"/>
      <c r="I10" s="382"/>
    </row>
    <row r="11" spans="1:10" ht="14.25" customHeight="1">
      <c r="A11" s="397"/>
      <c r="B11" s="396" t="s">
        <v>280</v>
      </c>
      <c r="C11" s="276" t="str">
        <f>DADOS_CONSULT!A71</f>
        <v>P8124</v>
      </c>
      <c r="D11" s="277" t="s">
        <v>195</v>
      </c>
      <c r="E11" s="276">
        <v>1</v>
      </c>
      <c r="F11" s="276">
        <v>20</v>
      </c>
      <c r="G11" s="276">
        <f>F11*E11</f>
        <v>20</v>
      </c>
      <c r="H11" s="275">
        <f>DADOS_CONSULT!D71/22</f>
        <v>180.78</v>
      </c>
      <c r="I11" s="274">
        <f t="shared" ref="I11:I12" si="0">H11*G11</f>
        <v>3615.6</v>
      </c>
    </row>
    <row r="12" spans="1:10" ht="14.25" customHeight="1" thickBot="1">
      <c r="A12" s="397"/>
      <c r="B12" s="396" t="s">
        <v>238</v>
      </c>
      <c r="C12" s="271" t="str">
        <f>DADOS_CONSULT!A66</f>
        <v>P8113</v>
      </c>
      <c r="D12" s="277" t="s">
        <v>195</v>
      </c>
      <c r="E12" s="271">
        <v>1</v>
      </c>
      <c r="F12" s="276">
        <v>20</v>
      </c>
      <c r="G12" s="276">
        <f>F12*E12</f>
        <v>20</v>
      </c>
      <c r="H12" s="275">
        <f>DADOS_CONSULT!D66/22</f>
        <v>76.184545454545457</v>
      </c>
      <c r="I12" s="379">
        <f t="shared" si="0"/>
        <v>1523.6909090909091</v>
      </c>
    </row>
    <row r="13" spans="1:10" ht="14.25" customHeight="1" thickBot="1">
      <c r="A13" s="397"/>
      <c r="B13" s="476" t="s">
        <v>557</v>
      </c>
      <c r="C13" s="271"/>
      <c r="D13" s="272"/>
      <c r="E13" s="271"/>
      <c r="F13" s="271"/>
      <c r="G13" s="271"/>
      <c r="H13" s="378"/>
      <c r="I13" s="380">
        <f>SUM(I9:I12)</f>
        <v>11495.080909090908</v>
      </c>
      <c r="J13" s="264">
        <v>13</v>
      </c>
    </row>
    <row r="14" spans="1:10" ht="14.25" customHeight="1">
      <c r="A14" s="397"/>
      <c r="B14" s="796"/>
      <c r="C14" s="758"/>
      <c r="D14" s="758"/>
      <c r="E14" s="758"/>
      <c r="F14" s="758"/>
      <c r="G14" s="758"/>
      <c r="H14" s="758"/>
      <c r="I14" s="759"/>
    </row>
    <row r="15" spans="1:10">
      <c r="A15" s="397"/>
      <c r="B15" s="74" t="s">
        <v>562</v>
      </c>
      <c r="C15" s="268"/>
      <c r="D15" s="453"/>
      <c r="E15" s="453"/>
      <c r="F15" s="453"/>
      <c r="G15" s="453"/>
      <c r="H15" s="166"/>
      <c r="I15" s="167"/>
    </row>
    <row r="16" spans="1:10">
      <c r="A16" s="397"/>
      <c r="B16" s="486" t="s">
        <v>279</v>
      </c>
      <c r="C16" s="268"/>
      <c r="D16" s="453"/>
      <c r="E16" s="453"/>
      <c r="F16" s="453"/>
      <c r="G16" s="484">
        <f>DADOS_CONSULT!W72/100</f>
        <v>0.93269999999999997</v>
      </c>
      <c r="H16" s="166"/>
      <c r="I16" s="167">
        <f>G16*I9</f>
        <v>5928.045333</v>
      </c>
    </row>
    <row r="17" spans="1:12">
      <c r="A17" s="397"/>
      <c r="B17" s="517" t="s">
        <v>280</v>
      </c>
      <c r="C17" s="268"/>
      <c r="D17" s="453"/>
      <c r="E17" s="453"/>
      <c r="F17" s="453"/>
      <c r="G17" s="484">
        <f>DADOS_CONSULT!W71/100</f>
        <v>1.0043</v>
      </c>
      <c r="H17" s="166"/>
      <c r="I17" s="167">
        <f>G17*I11</f>
        <v>3631.1470799999997</v>
      </c>
    </row>
    <row r="18" spans="1:12">
      <c r="A18" s="397"/>
      <c r="B18" s="517" t="s">
        <v>238</v>
      </c>
      <c r="C18" s="268"/>
      <c r="D18" s="453"/>
      <c r="E18" s="453"/>
      <c r="F18" s="453"/>
      <c r="G18" s="484">
        <f>DADOS_CONSULT!W66/100</f>
        <v>1.298</v>
      </c>
      <c r="H18" s="166"/>
      <c r="I18" s="167">
        <f>G18*I12</f>
        <v>1977.7508</v>
      </c>
    </row>
    <row r="19" spans="1:12">
      <c r="A19" s="397"/>
      <c r="B19" s="476" t="s">
        <v>558</v>
      </c>
      <c r="C19" s="268"/>
      <c r="D19" s="453"/>
      <c r="E19" s="453"/>
      <c r="F19" s="453"/>
      <c r="G19" s="484"/>
      <c r="H19" s="166"/>
      <c r="I19" s="122">
        <f>SUM(I16:I18)</f>
        <v>11536.943213</v>
      </c>
      <c r="J19" s="264">
        <v>19</v>
      </c>
    </row>
    <row r="20" spans="1:12">
      <c r="A20" s="397"/>
      <c r="B20" s="797"/>
      <c r="C20" s="755"/>
      <c r="D20" s="755"/>
      <c r="E20" s="755"/>
      <c r="F20" s="755"/>
      <c r="G20" s="755"/>
      <c r="H20" s="755"/>
      <c r="I20" s="798"/>
    </row>
    <row r="21" spans="1:12">
      <c r="B21" s="270" t="s">
        <v>573</v>
      </c>
      <c r="C21" s="268"/>
      <c r="D21" s="452" t="s">
        <v>56</v>
      </c>
      <c r="E21" s="452" t="s">
        <v>57</v>
      </c>
      <c r="F21" s="452" t="s">
        <v>60</v>
      </c>
      <c r="G21" s="452" t="s">
        <v>46</v>
      </c>
      <c r="H21" s="452" t="s">
        <v>54</v>
      </c>
      <c r="I21" s="382" t="s">
        <v>14</v>
      </c>
    </row>
    <row r="22" spans="1:12">
      <c r="B22" s="486" t="s">
        <v>241</v>
      </c>
      <c r="C22" s="268"/>
      <c r="D22" s="452"/>
      <c r="E22" s="487">
        <v>10</v>
      </c>
      <c r="F22" s="462">
        <v>1</v>
      </c>
      <c r="G22" s="462" t="s">
        <v>242</v>
      </c>
      <c r="H22" s="504">
        <f>DADOS!C51</f>
        <v>250</v>
      </c>
      <c r="I22" s="489">
        <f>E22*F22*H22</f>
        <v>2500</v>
      </c>
    </row>
    <row r="23" spans="1:12">
      <c r="B23" s="486" t="s">
        <v>579</v>
      </c>
      <c r="C23" s="268"/>
      <c r="D23" s="376"/>
      <c r="E23" s="383">
        <v>1</v>
      </c>
      <c r="F23" s="276">
        <v>20</v>
      </c>
      <c r="G23" s="276" t="s">
        <v>244</v>
      </c>
      <c r="H23" s="504">
        <f>DADOS_CONSULT!$AG$36</f>
        <v>177</v>
      </c>
      <c r="I23" s="489">
        <f t="shared" ref="I23:I24" si="1">E23*F23*H23</f>
        <v>3540</v>
      </c>
    </row>
    <row r="24" spans="1:12" ht="13.5" thickBot="1">
      <c r="B24" s="273" t="s">
        <v>577</v>
      </c>
      <c r="C24" s="268"/>
      <c r="D24" s="376"/>
      <c r="E24" s="383">
        <v>1</v>
      </c>
      <c r="F24" s="276">
        <v>20</v>
      </c>
      <c r="G24" s="276" t="s">
        <v>244</v>
      </c>
      <c r="H24" s="504">
        <f>DADOS_CONSULT!$AG$36</f>
        <v>177</v>
      </c>
      <c r="I24" s="489">
        <f t="shared" si="1"/>
        <v>3540</v>
      </c>
    </row>
    <row r="25" spans="1:12" ht="13.5" thickBot="1">
      <c r="B25" s="486"/>
      <c r="C25" s="268"/>
      <c r="D25" s="376"/>
      <c r="E25" s="383"/>
      <c r="F25" s="376"/>
      <c r="G25" s="276"/>
      <c r="H25" s="505"/>
      <c r="I25" s="506">
        <f>SUM(I22:I24)</f>
        <v>9580</v>
      </c>
      <c r="J25" s="264">
        <v>25</v>
      </c>
    </row>
    <row r="26" spans="1:12">
      <c r="A26" s="397"/>
      <c r="B26" s="518" t="s">
        <v>150</v>
      </c>
      <c r="C26" s="268"/>
      <c r="D26" s="452"/>
      <c r="E26" s="452" t="s">
        <v>48</v>
      </c>
      <c r="F26" s="452" t="s">
        <v>60</v>
      </c>
      <c r="G26" s="452" t="s">
        <v>552</v>
      </c>
      <c r="H26" s="452" t="s">
        <v>54</v>
      </c>
      <c r="I26" s="524" t="s">
        <v>14</v>
      </c>
    </row>
    <row r="27" spans="1:12" ht="13.5" thickBot="1">
      <c r="A27" s="397"/>
      <c r="B27" s="519" t="str">
        <f>DADOS!H10</f>
        <v>CAMINHONETE - 140 A 165 CV</v>
      </c>
      <c r="C27" s="268"/>
      <c r="D27" s="453"/>
      <c r="E27" s="453">
        <v>1</v>
      </c>
      <c r="F27" s="453">
        <v>20</v>
      </c>
      <c r="G27" s="492">
        <f>F27*E27*8</f>
        <v>160</v>
      </c>
      <c r="H27" s="485">
        <f>DADOS_CONSULT!AF13</f>
        <v>46.14</v>
      </c>
      <c r="I27" s="525">
        <f>H27*G27</f>
        <v>7382.4</v>
      </c>
      <c r="J27" s="264">
        <v>27</v>
      </c>
    </row>
    <row r="28" spans="1:12" ht="13.5" thickBot="1">
      <c r="A28" s="397"/>
      <c r="B28" s="476" t="s">
        <v>559</v>
      </c>
      <c r="C28" s="520"/>
      <c r="D28" s="520"/>
      <c r="E28" s="520"/>
      <c r="F28" s="520"/>
      <c r="G28" s="520"/>
      <c r="H28" s="521"/>
      <c r="I28" s="522">
        <f>I25+I27</f>
        <v>16962.400000000001</v>
      </c>
      <c r="J28" s="264">
        <v>28</v>
      </c>
    </row>
    <row r="29" spans="1:12">
      <c r="A29" s="397"/>
      <c r="B29" s="526"/>
      <c r="C29" s="520"/>
      <c r="D29" s="520"/>
      <c r="E29" s="520"/>
      <c r="F29" s="520"/>
      <c r="G29" s="520"/>
      <c r="H29" s="521"/>
      <c r="I29" s="523"/>
    </row>
    <row r="30" spans="1:12" ht="13.5" customHeight="1">
      <c r="A30" s="397"/>
      <c r="B30" s="799" t="s">
        <v>76</v>
      </c>
      <c r="C30" s="735"/>
      <c r="D30" s="735"/>
      <c r="E30" s="735"/>
      <c r="F30" s="735"/>
      <c r="G30" s="735"/>
      <c r="H30" s="735"/>
      <c r="I30" s="509">
        <f>I13+I19+I28</f>
        <v>39994.42412209091</v>
      </c>
      <c r="J30" s="264">
        <v>30</v>
      </c>
    </row>
    <row r="31" spans="1:12">
      <c r="B31" s="716"/>
      <c r="C31" s="717"/>
      <c r="D31" s="717"/>
      <c r="E31" s="717"/>
      <c r="F31" s="717"/>
      <c r="G31" s="717"/>
      <c r="H31" s="717"/>
      <c r="I31" s="718"/>
    </row>
    <row r="32" spans="1:12">
      <c r="B32" s="719" t="s">
        <v>38</v>
      </c>
      <c r="C32" s="720"/>
      <c r="D32" s="721"/>
      <c r="E32" s="432"/>
      <c r="F32" s="432"/>
      <c r="G32" s="433"/>
      <c r="H32" s="434"/>
      <c r="I32" s="435"/>
      <c r="L32" s="268"/>
    </row>
    <row r="33" spans="2:12">
      <c r="B33" s="469" t="s">
        <v>561</v>
      </c>
      <c r="C33" s="472"/>
      <c r="D33" s="474"/>
      <c r="E33" s="472"/>
      <c r="F33" s="472"/>
      <c r="G33" s="470"/>
      <c r="H33" s="472"/>
      <c r="I33" s="435"/>
      <c r="L33" s="502"/>
    </row>
    <row r="34" spans="2:12">
      <c r="B34" s="473" t="s">
        <v>553</v>
      </c>
      <c r="C34" s="472"/>
      <c r="D34" s="474"/>
      <c r="E34" s="472"/>
      <c r="F34" s="472"/>
      <c r="G34" s="471">
        <v>0.1</v>
      </c>
      <c r="H34" s="472"/>
      <c r="I34" s="460">
        <f>G34*$I$30</f>
        <v>3999.4424122090913</v>
      </c>
      <c r="L34" s="502"/>
    </row>
    <row r="35" spans="2:12">
      <c r="B35" s="473" t="s">
        <v>554</v>
      </c>
      <c r="C35" s="472"/>
      <c r="D35" s="474"/>
      <c r="E35" s="472"/>
      <c r="F35" s="472"/>
      <c r="G35" s="471">
        <v>2.5000000000000001E-3</v>
      </c>
      <c r="H35" s="472"/>
      <c r="I35" s="460">
        <f t="shared" ref="I35:I37" si="2">G35*$I$30</f>
        <v>99.986060305227284</v>
      </c>
      <c r="L35" s="502"/>
    </row>
    <row r="36" spans="2:12">
      <c r="B36" s="473" t="s">
        <v>555</v>
      </c>
      <c r="C36" s="472"/>
      <c r="D36" s="474"/>
      <c r="E36" s="472"/>
      <c r="F36" s="472"/>
      <c r="G36" s="471">
        <v>7.1999999999999998E-3</v>
      </c>
      <c r="H36" s="472"/>
      <c r="I36" s="460">
        <f t="shared" si="2"/>
        <v>287.95985367905456</v>
      </c>
      <c r="L36" s="502"/>
    </row>
    <row r="37" spans="2:12">
      <c r="B37" s="473" t="s">
        <v>556</v>
      </c>
      <c r="C37" s="472"/>
      <c r="D37" s="474"/>
      <c r="E37" s="472"/>
      <c r="F37" s="472"/>
      <c r="G37" s="471">
        <v>1.4E-3</v>
      </c>
      <c r="H37" s="472"/>
      <c r="I37" s="460">
        <f t="shared" si="2"/>
        <v>55.992193770927273</v>
      </c>
      <c r="L37" s="502"/>
    </row>
    <row r="38" spans="2:12">
      <c r="B38" s="458" t="s">
        <v>560</v>
      </c>
      <c r="C38" s="472"/>
      <c r="D38" s="474"/>
      <c r="E38" s="472"/>
      <c r="F38" s="472"/>
      <c r="G38" s="471">
        <v>0.1111</v>
      </c>
      <c r="H38" s="472"/>
      <c r="I38" s="122">
        <f>SUM(I34:I37)</f>
        <v>4443.3805199643002</v>
      </c>
      <c r="J38" s="264">
        <v>38</v>
      </c>
      <c r="L38" s="502"/>
    </row>
    <row r="39" spans="2:12">
      <c r="B39" s="469"/>
      <c r="C39" s="472"/>
      <c r="D39" s="474"/>
      <c r="E39" s="472"/>
      <c r="F39" s="472"/>
      <c r="G39" s="472"/>
      <c r="H39" s="472"/>
      <c r="I39" s="435"/>
      <c r="L39" s="502"/>
    </row>
    <row r="40" spans="2:12">
      <c r="B40" s="469" t="s">
        <v>563</v>
      </c>
      <c r="C40" s="472"/>
      <c r="D40" s="474"/>
      <c r="E40" s="472"/>
      <c r="F40" s="472"/>
      <c r="G40" s="472"/>
      <c r="H40" s="472"/>
      <c r="I40" s="435"/>
      <c r="L40" s="502"/>
    </row>
    <row r="41" spans="2:12">
      <c r="B41" s="469" t="s">
        <v>574</v>
      </c>
      <c r="C41" s="472"/>
      <c r="D41" s="474"/>
      <c r="E41" s="472"/>
      <c r="F41" s="472"/>
      <c r="G41" s="471">
        <v>0.12</v>
      </c>
      <c r="H41" s="472"/>
      <c r="I41" s="459">
        <f>G41*I30</f>
        <v>4799.3308946509087</v>
      </c>
      <c r="J41" s="264">
        <v>41</v>
      </c>
      <c r="L41" s="502"/>
    </row>
    <row r="42" spans="2:12">
      <c r="B42" s="469"/>
      <c r="C42" s="472"/>
      <c r="D42" s="474"/>
      <c r="E42" s="472"/>
      <c r="F42" s="472"/>
      <c r="G42" s="472"/>
      <c r="H42" s="472"/>
      <c r="I42" s="435"/>
      <c r="L42" s="502"/>
    </row>
    <row r="43" spans="2:12">
      <c r="B43" s="469" t="s">
        <v>564</v>
      </c>
      <c r="C43" s="472"/>
      <c r="D43" s="474"/>
      <c r="E43" s="472"/>
      <c r="F43" s="472"/>
      <c r="G43" s="471"/>
      <c r="H43" s="472"/>
      <c r="I43" s="435"/>
      <c r="L43" s="502"/>
    </row>
    <row r="44" spans="2:12">
      <c r="B44" s="473" t="s">
        <v>565</v>
      </c>
      <c r="C44" s="472"/>
      <c r="D44" s="474"/>
      <c r="E44" s="472"/>
      <c r="F44" s="472"/>
      <c r="G44" s="471">
        <v>2.3699999999999999E-2</v>
      </c>
      <c r="H44" s="472"/>
      <c r="I44" s="460">
        <f>G44*$I$30</f>
        <v>947.86785169355448</v>
      </c>
      <c r="L44" s="502"/>
    </row>
    <row r="45" spans="2:12">
      <c r="B45" s="473" t="s">
        <v>566</v>
      </c>
      <c r="C45" s="472"/>
      <c r="D45" s="474"/>
      <c r="E45" s="472"/>
      <c r="F45" s="472"/>
      <c r="G45" s="471">
        <v>0.1091</v>
      </c>
      <c r="H45" s="472"/>
      <c r="I45" s="460">
        <f t="shared" ref="I45:I46" si="3">G45*$I$30</f>
        <v>4363.3916717201182</v>
      </c>
      <c r="L45" s="502"/>
    </row>
    <row r="46" spans="2:12">
      <c r="B46" s="473" t="s">
        <v>567</v>
      </c>
      <c r="C46" s="472"/>
      <c r="D46" s="474"/>
      <c r="E46" s="472"/>
      <c r="F46" s="472"/>
      <c r="G46" s="471">
        <v>7.1800000000000003E-2</v>
      </c>
      <c r="H46" s="472"/>
      <c r="I46" s="460">
        <f t="shared" si="3"/>
        <v>2871.5996519661276</v>
      </c>
      <c r="L46" s="502"/>
    </row>
    <row r="47" spans="2:12">
      <c r="B47" s="469"/>
      <c r="C47" s="472"/>
      <c r="D47" s="474"/>
      <c r="E47" s="472"/>
      <c r="F47" s="472"/>
      <c r="G47" s="470"/>
      <c r="H47" s="472"/>
      <c r="I47" s="122">
        <f>SUM(I44:I46)</f>
        <v>8182.8591753798</v>
      </c>
      <c r="J47" s="264">
        <v>47</v>
      </c>
    </row>
    <row r="48" spans="2:12">
      <c r="B48" s="722"/>
      <c r="C48" s="723"/>
      <c r="D48" s="723"/>
      <c r="E48" s="723"/>
      <c r="F48" s="723"/>
      <c r="G48" s="723"/>
      <c r="H48" s="723"/>
      <c r="I48" s="724"/>
    </row>
    <row r="49" spans="2:13">
      <c r="B49" s="725" t="s">
        <v>166</v>
      </c>
      <c r="C49" s="726"/>
      <c r="D49" s="726"/>
      <c r="E49" s="726"/>
      <c r="F49" s="726"/>
      <c r="G49" s="726"/>
      <c r="H49" s="726"/>
      <c r="I49" s="192">
        <f>I38+I41+I47</f>
        <v>17425.570589995008</v>
      </c>
      <c r="J49" s="264">
        <v>49</v>
      </c>
    </row>
    <row r="50" spans="2:13">
      <c r="B50" s="727"/>
      <c r="C50" s="728"/>
      <c r="D50" s="728"/>
      <c r="E50" s="728"/>
      <c r="F50" s="728"/>
      <c r="G50" s="728"/>
      <c r="H50" s="728"/>
      <c r="I50" s="729"/>
    </row>
    <row r="51" spans="2:13">
      <c r="B51" s="727"/>
      <c r="C51" s="728"/>
      <c r="D51" s="728"/>
      <c r="E51" s="728"/>
      <c r="F51" s="728"/>
      <c r="G51" s="728"/>
      <c r="H51" s="728"/>
      <c r="I51" s="729"/>
      <c r="M51" s="267"/>
    </row>
    <row r="52" spans="2:13" ht="13.5" customHeight="1" thickBot="1">
      <c r="B52" s="730" t="s">
        <v>167</v>
      </c>
      <c r="C52" s="731"/>
      <c r="D52" s="731"/>
      <c r="E52" s="731"/>
      <c r="F52" s="731"/>
      <c r="G52" s="731"/>
      <c r="H52" s="731"/>
      <c r="I52" s="81">
        <f>I30+I49</f>
        <v>57419.994712085914</v>
      </c>
    </row>
    <row r="53" spans="2:13" ht="13.5" thickBot="1"/>
    <row r="54" spans="2:13">
      <c r="B54" s="710" t="s">
        <v>140</v>
      </c>
      <c r="C54" s="711"/>
      <c r="D54" s="711"/>
      <c r="E54" s="711"/>
      <c r="F54" s="711"/>
      <c r="G54" s="711"/>
      <c r="H54" s="711"/>
      <c r="I54" s="712"/>
    </row>
    <row r="55" spans="2:13" ht="13.5" customHeight="1">
      <c r="B55" s="713" t="s">
        <v>268</v>
      </c>
      <c r="C55" s="714"/>
      <c r="D55" s="714"/>
      <c r="E55" s="714"/>
      <c r="F55" s="714"/>
      <c r="G55" s="714"/>
      <c r="H55" s="714"/>
      <c r="I55" s="715"/>
    </row>
    <row r="56" spans="2:13" ht="16.5" customHeight="1">
      <c r="B56" s="701" t="s">
        <v>282</v>
      </c>
      <c r="C56" s="702"/>
      <c r="D56" s="702"/>
      <c r="E56" s="702"/>
      <c r="F56" s="702"/>
      <c r="G56" s="702"/>
      <c r="H56" s="702"/>
      <c r="I56" s="703"/>
    </row>
    <row r="57" spans="2:13" ht="7.5" customHeight="1" thickBot="1">
      <c r="B57" s="704"/>
      <c r="C57" s="705"/>
      <c r="D57" s="705"/>
      <c r="E57" s="705"/>
      <c r="F57" s="705"/>
      <c r="G57" s="705"/>
      <c r="H57" s="705"/>
      <c r="I57" s="706"/>
    </row>
  </sheetData>
  <mergeCells count="23">
    <mergeCell ref="B6:C6"/>
    <mergeCell ref="E6:G6"/>
    <mergeCell ref="H6:I6"/>
    <mergeCell ref="B1:I1"/>
    <mergeCell ref="B2:I2"/>
    <mergeCell ref="B3:I3"/>
    <mergeCell ref="C4:I4"/>
    <mergeCell ref="C5:I5"/>
    <mergeCell ref="B51:I51"/>
    <mergeCell ref="B7:C7"/>
    <mergeCell ref="B14:I14"/>
    <mergeCell ref="B20:I20"/>
    <mergeCell ref="B30:H30"/>
    <mergeCell ref="B31:I31"/>
    <mergeCell ref="B32:D32"/>
    <mergeCell ref="B48:I48"/>
    <mergeCell ref="B49:H49"/>
    <mergeCell ref="B50:I50"/>
    <mergeCell ref="B57:I57"/>
    <mergeCell ref="B52:H52"/>
    <mergeCell ref="B54:I54"/>
    <mergeCell ref="B55:I55"/>
    <mergeCell ref="B56:I56"/>
  </mergeCells>
  <pageMargins left="0.511811024" right="0.511811024" top="0.78740157499999996" bottom="0.78740157499999996" header="0.31496062000000002" footer="0.31496062000000002"/>
  <pageSetup paperSize="9" scale="82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topLeftCell="A49" zoomScaleNormal="100" workbookViewId="0">
      <selection activeCell="I65" sqref="I65"/>
    </sheetView>
  </sheetViews>
  <sheetFormatPr defaultRowHeight="12.75"/>
  <cols>
    <col min="1" max="1" width="4.85546875" style="264" customWidth="1"/>
    <col min="2" max="2" width="60" style="264" customWidth="1"/>
    <col min="3" max="3" width="6.5703125" style="264" customWidth="1"/>
    <col min="4" max="4" width="10" style="264" customWidth="1"/>
    <col min="5" max="6" width="9.140625" style="264"/>
    <col min="7" max="7" width="10.85546875" style="264" customWidth="1"/>
    <col min="8" max="8" width="13.5703125" style="264" customWidth="1"/>
    <col min="9" max="9" width="16.5703125" style="264" customWidth="1"/>
    <col min="10" max="16384" width="9.140625" style="264"/>
  </cols>
  <sheetData>
    <row r="1" spans="1:9" ht="13.5" thickBot="1">
      <c r="B1" s="736"/>
      <c r="C1" s="736"/>
      <c r="D1" s="736"/>
      <c r="E1" s="736"/>
      <c r="F1" s="736"/>
      <c r="G1" s="736"/>
      <c r="H1" s="736"/>
      <c r="I1" s="736"/>
    </row>
    <row r="2" spans="1:9" ht="20.25" customHeight="1">
      <c r="B2" s="737" t="s">
        <v>296</v>
      </c>
      <c r="C2" s="738"/>
      <c r="D2" s="738"/>
      <c r="E2" s="738"/>
      <c r="F2" s="738"/>
      <c r="G2" s="738"/>
      <c r="H2" s="738"/>
      <c r="I2" s="739"/>
    </row>
    <row r="3" spans="1:9" ht="16.5" customHeight="1">
      <c r="B3" s="740" t="s">
        <v>294</v>
      </c>
      <c r="C3" s="741"/>
      <c r="D3" s="741"/>
      <c r="E3" s="741"/>
      <c r="F3" s="741"/>
      <c r="G3" s="741"/>
      <c r="H3" s="741"/>
      <c r="I3" s="742"/>
    </row>
    <row r="4" spans="1:9">
      <c r="B4" s="281">
        <f>DADOS!E30</f>
        <v>43831</v>
      </c>
      <c r="C4" s="743"/>
      <c r="D4" s="744"/>
      <c r="E4" s="744"/>
      <c r="F4" s="744"/>
      <c r="G4" s="744"/>
      <c r="H4" s="744"/>
      <c r="I4" s="745"/>
    </row>
    <row r="5" spans="1:9">
      <c r="B5" s="280" t="s">
        <v>37</v>
      </c>
      <c r="C5" s="746"/>
      <c r="D5" s="744"/>
      <c r="E5" s="744"/>
      <c r="F5" s="744"/>
      <c r="G5" s="744"/>
      <c r="H5" s="744"/>
      <c r="I5" s="745"/>
    </row>
    <row r="6" spans="1:9" ht="15" customHeight="1">
      <c r="B6" s="747" t="s">
        <v>51</v>
      </c>
      <c r="C6" s="748"/>
      <c r="D6" s="279"/>
      <c r="E6" s="749" t="s">
        <v>30</v>
      </c>
      <c r="F6" s="749"/>
      <c r="G6" s="750"/>
      <c r="H6" s="749" t="s">
        <v>52</v>
      </c>
      <c r="I6" s="751"/>
    </row>
    <row r="7" spans="1:9" ht="12.75" customHeight="1">
      <c r="B7" s="752" t="s">
        <v>572</v>
      </c>
      <c r="C7" s="753"/>
      <c r="D7" s="268"/>
      <c r="E7" s="268"/>
      <c r="F7" s="268"/>
      <c r="G7" s="268"/>
      <c r="H7" s="368"/>
      <c r="I7" s="269"/>
    </row>
    <row r="8" spans="1:9">
      <c r="B8" s="270" t="s">
        <v>292</v>
      </c>
      <c r="C8" s="75" t="s">
        <v>568</v>
      </c>
      <c r="D8" s="368" t="s">
        <v>46</v>
      </c>
      <c r="E8" s="368" t="s">
        <v>57</v>
      </c>
      <c r="F8" s="368" t="s">
        <v>61</v>
      </c>
      <c r="G8" s="368" t="s">
        <v>49</v>
      </c>
      <c r="H8" s="368" t="s">
        <v>54</v>
      </c>
      <c r="I8" s="269" t="s">
        <v>14</v>
      </c>
    </row>
    <row r="9" spans="1:9">
      <c r="A9" s="397"/>
      <c r="B9" s="396" t="s">
        <v>285</v>
      </c>
      <c r="C9" s="276" t="str">
        <f>DADOS_CONSULT!A72</f>
        <v>P8125</v>
      </c>
      <c r="D9" s="277" t="s">
        <v>252</v>
      </c>
      <c r="E9" s="276">
        <v>1</v>
      </c>
      <c r="F9" s="276">
        <v>1</v>
      </c>
      <c r="G9" s="276">
        <f>F9*E9</f>
        <v>1</v>
      </c>
      <c r="H9" s="275">
        <f>DADOS_CONSULT!D72</f>
        <v>6355.79</v>
      </c>
      <c r="I9" s="274">
        <f>H9*G9</f>
        <v>6355.79</v>
      </c>
    </row>
    <row r="10" spans="1:9">
      <c r="A10" s="397"/>
      <c r="B10" s="396" t="s">
        <v>286</v>
      </c>
      <c r="C10" s="276" t="str">
        <f>DADOS_CONSULT!A50</f>
        <v>P8070</v>
      </c>
      <c r="D10" s="277" t="s">
        <v>252</v>
      </c>
      <c r="E10" s="276">
        <v>1</v>
      </c>
      <c r="F10" s="276">
        <v>1</v>
      </c>
      <c r="G10" s="276">
        <f t="shared" ref="G10:G13" si="0">F10*E10</f>
        <v>1</v>
      </c>
      <c r="H10" s="275">
        <f>DADOS_CONSULT!D50</f>
        <v>15784.7</v>
      </c>
      <c r="I10" s="274">
        <f t="shared" ref="I10:I13" si="1">H10*G10</f>
        <v>15784.7</v>
      </c>
    </row>
    <row r="11" spans="1:9">
      <c r="A11" s="397"/>
      <c r="B11" s="396" t="s">
        <v>287</v>
      </c>
      <c r="C11" s="276" t="str">
        <f>DADOS_CONSULT!A22</f>
        <v>P8034</v>
      </c>
      <c r="D11" s="277" t="s">
        <v>252</v>
      </c>
      <c r="E11" s="276">
        <v>1</v>
      </c>
      <c r="F11" s="276">
        <v>1</v>
      </c>
      <c r="G11" s="276">
        <f t="shared" si="0"/>
        <v>1</v>
      </c>
      <c r="H11" s="275">
        <f>DADOS_CONSULT!D22</f>
        <v>6057.5</v>
      </c>
      <c r="I11" s="274">
        <f t="shared" si="1"/>
        <v>6057.5</v>
      </c>
    </row>
    <row r="12" spans="1:9">
      <c r="A12" s="397"/>
      <c r="B12" s="396" t="s">
        <v>290</v>
      </c>
      <c r="C12" s="276" t="str">
        <f>DADOS_CONSULT!A32</f>
        <v>P8052</v>
      </c>
      <c r="D12" s="277" t="s">
        <v>252</v>
      </c>
      <c r="E12" s="276">
        <v>1</v>
      </c>
      <c r="F12" s="276">
        <v>1</v>
      </c>
      <c r="G12" s="276">
        <f t="shared" si="0"/>
        <v>1</v>
      </c>
      <c r="H12" s="275">
        <f>DADOS_CONSULT!D32</f>
        <v>9288.81</v>
      </c>
      <c r="I12" s="274">
        <f t="shared" si="1"/>
        <v>9288.81</v>
      </c>
    </row>
    <row r="13" spans="1:9">
      <c r="A13" s="397"/>
      <c r="B13" s="396" t="s">
        <v>291</v>
      </c>
      <c r="C13" s="276" t="str">
        <f>DADOS_CONSULT!A17</f>
        <v>P8026</v>
      </c>
      <c r="D13" s="277" t="s">
        <v>252</v>
      </c>
      <c r="E13" s="276">
        <v>1</v>
      </c>
      <c r="F13" s="276">
        <v>1</v>
      </c>
      <c r="G13" s="276">
        <f t="shared" si="0"/>
        <v>1</v>
      </c>
      <c r="H13" s="275">
        <f>DADOS_CONSULT!D17</f>
        <v>1501.2</v>
      </c>
      <c r="I13" s="274">
        <f t="shared" si="1"/>
        <v>1501.2</v>
      </c>
    </row>
    <row r="14" spans="1:9">
      <c r="A14" s="397"/>
      <c r="B14" s="395" t="s">
        <v>293</v>
      </c>
      <c r="C14" s="371"/>
      <c r="D14" s="368"/>
      <c r="E14" s="368"/>
      <c r="F14" s="368"/>
      <c r="G14" s="368"/>
      <c r="H14" s="368"/>
      <c r="I14" s="382"/>
    </row>
    <row r="15" spans="1:9">
      <c r="A15" s="397"/>
      <c r="B15" s="396" t="s">
        <v>285</v>
      </c>
      <c r="C15" s="276" t="str">
        <f>DADOS_CONSULT!A72</f>
        <v>P8125</v>
      </c>
      <c r="D15" s="277" t="s">
        <v>252</v>
      </c>
      <c r="E15" s="276">
        <v>1</v>
      </c>
      <c r="F15" s="276">
        <v>1</v>
      </c>
      <c r="G15" s="276">
        <f t="shared" ref="G15:G18" si="2">F15*E15</f>
        <v>1</v>
      </c>
      <c r="H15" s="275">
        <f>DADOS_CONSULT!D72</f>
        <v>6355.79</v>
      </c>
      <c r="I15" s="274">
        <f t="shared" ref="I15:I18" si="3">H15*G15</f>
        <v>6355.79</v>
      </c>
    </row>
    <row r="16" spans="1:9">
      <c r="A16" s="397"/>
      <c r="B16" s="396" t="s">
        <v>288</v>
      </c>
      <c r="C16" s="276" t="str">
        <f>DADOS_CONSULT!A21</f>
        <v>P8033</v>
      </c>
      <c r="D16" s="277" t="s">
        <v>252</v>
      </c>
      <c r="E16" s="276">
        <v>1</v>
      </c>
      <c r="F16" s="276">
        <v>1</v>
      </c>
      <c r="G16" s="276">
        <f t="shared" si="2"/>
        <v>1</v>
      </c>
      <c r="H16" s="275">
        <f>DADOS_CONSULT!D21</f>
        <v>3781.9</v>
      </c>
      <c r="I16" s="274">
        <f t="shared" si="3"/>
        <v>3781.9</v>
      </c>
    </row>
    <row r="17" spans="1:10">
      <c r="A17" s="397"/>
      <c r="B17" s="396" t="s">
        <v>289</v>
      </c>
      <c r="C17" s="276" t="str">
        <f>DADOS_CONSULT!A21</f>
        <v>P8033</v>
      </c>
      <c r="D17" s="277" t="s">
        <v>252</v>
      </c>
      <c r="E17" s="276">
        <v>1</v>
      </c>
      <c r="F17" s="276">
        <v>1</v>
      </c>
      <c r="G17" s="276">
        <f t="shared" si="2"/>
        <v>1</v>
      </c>
      <c r="H17" s="275">
        <f>DADOS_CONSULT!D21</f>
        <v>3781.9</v>
      </c>
      <c r="I17" s="274">
        <f t="shared" si="3"/>
        <v>3781.9</v>
      </c>
    </row>
    <row r="18" spans="1:10" ht="13.5" thickBot="1">
      <c r="A18" s="397"/>
      <c r="B18" s="396" t="s">
        <v>238</v>
      </c>
      <c r="C18" s="276" t="str">
        <f>DADOS_CONSULT!A66</f>
        <v>P8113</v>
      </c>
      <c r="D18" s="277" t="s">
        <v>252</v>
      </c>
      <c r="E18" s="276">
        <v>1</v>
      </c>
      <c r="F18" s="276">
        <v>1</v>
      </c>
      <c r="G18" s="276">
        <f t="shared" si="2"/>
        <v>1</v>
      </c>
      <c r="H18" s="275">
        <f>DADOS_CONSULT!D66</f>
        <v>1676.06</v>
      </c>
      <c r="I18" s="379">
        <f t="shared" si="3"/>
        <v>1676.06</v>
      </c>
    </row>
    <row r="19" spans="1:10" ht="14.25" customHeight="1" thickBot="1">
      <c r="A19" s="397"/>
      <c r="B19" s="476" t="s">
        <v>557</v>
      </c>
      <c r="C19" s="271"/>
      <c r="D19" s="272"/>
      <c r="E19" s="271"/>
      <c r="F19" s="271"/>
      <c r="G19" s="271"/>
      <c r="H19" s="378"/>
      <c r="I19" s="380">
        <f>SUM(I9:I18)</f>
        <v>54583.65</v>
      </c>
      <c r="J19" s="264">
        <v>19</v>
      </c>
    </row>
    <row r="20" spans="1:10" ht="14.25" customHeight="1">
      <c r="A20" s="397"/>
      <c r="B20" s="476"/>
      <c r="C20" s="271"/>
      <c r="D20" s="272"/>
      <c r="E20" s="271"/>
      <c r="F20" s="271"/>
      <c r="G20" s="271"/>
      <c r="H20" s="378"/>
      <c r="I20" s="527"/>
    </row>
    <row r="21" spans="1:10">
      <c r="A21" s="397"/>
      <c r="B21" s="74" t="s">
        <v>562</v>
      </c>
      <c r="C21" s="443"/>
      <c r="D21" s="444"/>
      <c r="E21" s="444"/>
      <c r="F21" s="453"/>
      <c r="G21" s="453"/>
      <c r="H21" s="166"/>
      <c r="I21" s="274"/>
    </row>
    <row r="22" spans="1:10">
      <c r="A22" s="397"/>
      <c r="B22" s="396" t="s">
        <v>285</v>
      </c>
      <c r="C22" s="443"/>
      <c r="D22" s="444"/>
      <c r="E22" s="444"/>
      <c r="F22" s="453"/>
      <c r="G22" s="484">
        <f>DADOS_CONSULT!W72/100</f>
        <v>0.93269999999999997</v>
      </c>
      <c r="H22" s="485"/>
      <c r="I22" s="274">
        <f>G22*I9</f>
        <v>5928.045333</v>
      </c>
    </row>
    <row r="23" spans="1:10">
      <c r="A23" s="397"/>
      <c r="B23" s="396" t="s">
        <v>286</v>
      </c>
      <c r="C23" s="443"/>
      <c r="D23" s="444"/>
      <c r="E23" s="444"/>
      <c r="F23" s="453"/>
      <c r="G23" s="484">
        <f>DADOS_CONSULT!W50/100</f>
        <v>0.85159999999999991</v>
      </c>
      <c r="H23" s="485"/>
      <c r="I23" s="274">
        <f t="shared" ref="I23:I26" si="4">G23*I10</f>
        <v>13442.25052</v>
      </c>
    </row>
    <row r="24" spans="1:10">
      <c r="A24" s="397"/>
      <c r="B24" s="396" t="s">
        <v>287</v>
      </c>
      <c r="C24" s="443"/>
      <c r="D24" s="444"/>
      <c r="E24" s="444"/>
      <c r="F24" s="453"/>
      <c r="G24" s="484">
        <f>DADOS_CONSULT!W22/100</f>
        <v>0.93090000000000006</v>
      </c>
      <c r="H24" s="485"/>
      <c r="I24" s="274">
        <f t="shared" si="4"/>
        <v>5638.9267500000005</v>
      </c>
    </row>
    <row r="25" spans="1:10">
      <c r="A25" s="397"/>
      <c r="B25" s="396" t="s">
        <v>290</v>
      </c>
      <c r="C25" s="443"/>
      <c r="D25" s="444"/>
      <c r="E25" s="444"/>
      <c r="F25" s="453"/>
      <c r="G25" s="484">
        <f>DADOS_CONSULT!W32/100</f>
        <v>0.88109999999999999</v>
      </c>
      <c r="H25" s="485"/>
      <c r="I25" s="274">
        <f t="shared" si="4"/>
        <v>8184.3704909999997</v>
      </c>
    </row>
    <row r="26" spans="1:10">
      <c r="A26" s="397"/>
      <c r="B26" s="396" t="s">
        <v>291</v>
      </c>
      <c r="C26" s="443"/>
      <c r="D26" s="444"/>
      <c r="E26" s="444"/>
      <c r="F26" s="453"/>
      <c r="G26" s="484">
        <f>DADOS_CONSULT!W17/100</f>
        <v>1.3532</v>
      </c>
      <c r="H26" s="485"/>
      <c r="I26" s="274">
        <f t="shared" si="4"/>
        <v>2031.4238399999999</v>
      </c>
    </row>
    <row r="27" spans="1:10">
      <c r="A27" s="397"/>
      <c r="B27" s="396" t="s">
        <v>285</v>
      </c>
      <c r="C27" s="443"/>
      <c r="D27" s="444"/>
      <c r="E27" s="444"/>
      <c r="F27" s="453"/>
      <c r="G27" s="484">
        <f>DADOS_CONSULT!W72/100</f>
        <v>0.93269999999999997</v>
      </c>
      <c r="H27" s="485"/>
      <c r="I27" s="274">
        <f>G27*I15</f>
        <v>5928.045333</v>
      </c>
    </row>
    <row r="28" spans="1:10">
      <c r="A28" s="397"/>
      <c r="B28" s="396" t="s">
        <v>288</v>
      </c>
      <c r="C28" s="443"/>
      <c r="D28" s="444"/>
      <c r="E28" s="444"/>
      <c r="F28" s="453"/>
      <c r="G28" s="484">
        <f>DADOS_CONSULT!W21/100</f>
        <v>1.0064</v>
      </c>
      <c r="H28" s="485"/>
      <c r="I28" s="274">
        <f t="shared" ref="I28:I30" si="5">G28*I16</f>
        <v>3806.1041599999999</v>
      </c>
    </row>
    <row r="29" spans="1:10">
      <c r="A29" s="397"/>
      <c r="B29" s="396" t="s">
        <v>289</v>
      </c>
      <c r="C29" s="443"/>
      <c r="D29" s="444"/>
      <c r="E29" s="444"/>
      <c r="F29" s="453"/>
      <c r="G29" s="484">
        <f>DADOS_CONSULT!W21/100</f>
        <v>1.0064</v>
      </c>
      <c r="H29" s="485"/>
      <c r="I29" s="274">
        <f t="shared" si="5"/>
        <v>3806.1041599999999</v>
      </c>
    </row>
    <row r="30" spans="1:10" ht="13.5" thickBot="1">
      <c r="A30" s="397"/>
      <c r="B30" s="396" t="s">
        <v>238</v>
      </c>
      <c r="C30" s="443"/>
      <c r="D30" s="444"/>
      <c r="E30" s="444"/>
      <c r="F30" s="453"/>
      <c r="G30" s="484">
        <f>DADOS_CONSULT!W66/100</f>
        <v>1.298</v>
      </c>
      <c r="H30" s="485"/>
      <c r="I30" s="274">
        <f t="shared" si="5"/>
        <v>2175.5258800000001</v>
      </c>
    </row>
    <row r="31" spans="1:10" ht="13.5" thickBot="1">
      <c r="A31" s="397"/>
      <c r="B31" s="476" t="s">
        <v>558</v>
      </c>
      <c r="C31" s="443"/>
      <c r="D31" s="444"/>
      <c r="E31" s="444"/>
      <c r="F31" s="453"/>
      <c r="G31" s="484"/>
      <c r="H31" s="485"/>
      <c r="I31" s="482">
        <f>SUM(I22:I30)</f>
        <v>50940.796467000015</v>
      </c>
      <c r="J31" s="264">
        <v>31</v>
      </c>
    </row>
    <row r="32" spans="1:10">
      <c r="A32" s="397"/>
      <c r="B32" s="797"/>
      <c r="C32" s="755"/>
      <c r="D32" s="755"/>
      <c r="E32" s="755"/>
      <c r="F32" s="755"/>
      <c r="G32" s="755"/>
      <c r="H32" s="755"/>
      <c r="I32" s="756"/>
    </row>
    <row r="33" spans="1:10">
      <c r="A33" s="397"/>
      <c r="B33" s="270" t="s">
        <v>573</v>
      </c>
      <c r="C33" s="268"/>
      <c r="D33" s="452" t="s">
        <v>56</v>
      </c>
      <c r="E33" s="452" t="s">
        <v>57</v>
      </c>
      <c r="F33" s="452" t="s">
        <v>60</v>
      </c>
      <c r="G33" s="452" t="s">
        <v>46</v>
      </c>
      <c r="H33" s="452" t="s">
        <v>54</v>
      </c>
      <c r="I33" s="382" t="s">
        <v>14</v>
      </c>
    </row>
    <row r="34" spans="1:10">
      <c r="A34" s="397"/>
      <c r="B34" s="517" t="s">
        <v>241</v>
      </c>
      <c r="C34" s="268"/>
      <c r="D34" s="452"/>
      <c r="E34" s="487">
        <v>10</v>
      </c>
      <c r="F34" s="462">
        <v>1</v>
      </c>
      <c r="G34" s="462" t="s">
        <v>242</v>
      </c>
      <c r="H34" s="488">
        <f>DADOS!C51</f>
        <v>250</v>
      </c>
      <c r="I34" s="489">
        <f>E34*F34*H34</f>
        <v>2500</v>
      </c>
    </row>
    <row r="35" spans="1:10">
      <c r="A35" s="397"/>
      <c r="B35" s="517" t="s">
        <v>295</v>
      </c>
      <c r="C35" s="268"/>
      <c r="D35" s="376"/>
      <c r="E35" s="487">
        <v>3</v>
      </c>
      <c r="F35" s="462">
        <v>30</v>
      </c>
      <c r="G35" s="462" t="s">
        <v>244</v>
      </c>
      <c r="H35" s="488">
        <f>DADOS_CONSULT!$AG$36</f>
        <v>177</v>
      </c>
      <c r="I35" s="489">
        <f>E35*F35*H35</f>
        <v>15930</v>
      </c>
    </row>
    <row r="36" spans="1:10">
      <c r="A36" s="397"/>
      <c r="B36" s="517" t="s">
        <v>295</v>
      </c>
      <c r="C36" s="268"/>
      <c r="D36" s="376"/>
      <c r="E36" s="487">
        <v>1</v>
      </c>
      <c r="F36" s="462">
        <v>30</v>
      </c>
      <c r="G36" s="462" t="s">
        <v>244</v>
      </c>
      <c r="H36" s="488">
        <f>DADOS_CONSULT!$AG$36</f>
        <v>177</v>
      </c>
      <c r="I36" s="489">
        <f>E36*F36*H36</f>
        <v>5310</v>
      </c>
    </row>
    <row r="37" spans="1:10" ht="13.5" thickBot="1">
      <c r="A37" s="397"/>
      <c r="B37" s="517" t="s">
        <v>248</v>
      </c>
      <c r="C37" s="268"/>
      <c r="D37" s="452"/>
      <c r="E37" s="487">
        <v>1</v>
      </c>
      <c r="F37" s="462">
        <v>1</v>
      </c>
      <c r="G37" s="462" t="s">
        <v>242</v>
      </c>
      <c r="H37" s="488">
        <f>10000+5000+2000</f>
        <v>17000</v>
      </c>
      <c r="I37" s="489">
        <f>E37*F37*H37</f>
        <v>17000</v>
      </c>
    </row>
    <row r="38" spans="1:10" ht="13.5" thickBot="1">
      <c r="B38" s="486"/>
      <c r="C38" s="268"/>
      <c r="D38" s="452"/>
      <c r="E38" s="487"/>
      <c r="F38" s="462"/>
      <c r="G38" s="462"/>
      <c r="H38" s="490"/>
      <c r="I38" s="482">
        <f>SUM(I34:I37)</f>
        <v>40740</v>
      </c>
      <c r="J38" s="264">
        <v>38</v>
      </c>
    </row>
    <row r="39" spans="1:10">
      <c r="B39" s="270" t="s">
        <v>150</v>
      </c>
      <c r="C39" s="268"/>
      <c r="D39" s="452"/>
      <c r="E39" s="452" t="s">
        <v>48</v>
      </c>
      <c r="F39" s="452" t="s">
        <v>60</v>
      </c>
      <c r="G39" s="452" t="s">
        <v>552</v>
      </c>
      <c r="H39" s="452" t="s">
        <v>54</v>
      </c>
      <c r="I39" s="382" t="s">
        <v>14</v>
      </c>
    </row>
    <row r="40" spans="1:10">
      <c r="B40" s="491" t="s">
        <v>256</v>
      </c>
      <c r="C40" s="268"/>
      <c r="D40" s="452"/>
      <c r="E40" s="453">
        <v>1</v>
      </c>
      <c r="F40" s="453">
        <v>30</v>
      </c>
      <c r="G40" s="492">
        <f>F40*E40*8</f>
        <v>240</v>
      </c>
      <c r="H40" s="166">
        <f>DADOS_CONSULT!AF13</f>
        <v>46.14</v>
      </c>
      <c r="I40" s="460">
        <f>H40*G40</f>
        <v>11073.6</v>
      </c>
      <c r="J40" s="264">
        <v>40</v>
      </c>
    </row>
    <row r="41" spans="1:10">
      <c r="B41" s="476" t="s">
        <v>559</v>
      </c>
      <c r="C41" s="497"/>
      <c r="D41" s="498"/>
      <c r="E41" s="498"/>
      <c r="F41" s="498"/>
      <c r="G41" s="499"/>
      <c r="H41" s="500"/>
      <c r="I41" s="528">
        <f>I38+I40</f>
        <v>51813.599999999999</v>
      </c>
      <c r="J41" s="264">
        <v>41</v>
      </c>
    </row>
    <row r="42" spans="1:10" ht="12" customHeight="1">
      <c r="B42" s="732"/>
      <c r="C42" s="733"/>
      <c r="D42" s="733"/>
      <c r="E42" s="733"/>
      <c r="F42" s="733"/>
      <c r="G42" s="733"/>
      <c r="H42" s="733"/>
      <c r="I42" s="734"/>
    </row>
    <row r="43" spans="1:10" ht="13.5" customHeight="1">
      <c r="B43" s="725" t="s">
        <v>76</v>
      </c>
      <c r="C43" s="735"/>
      <c r="D43" s="735"/>
      <c r="E43" s="735"/>
      <c r="F43" s="735"/>
      <c r="G43" s="735"/>
      <c r="H43" s="735"/>
      <c r="I43" s="493">
        <f>I19+I31+I41</f>
        <v>157338.04646700001</v>
      </c>
      <c r="J43" s="264">
        <v>43</v>
      </c>
    </row>
    <row r="44" spans="1:10">
      <c r="B44" s="716"/>
      <c r="C44" s="717"/>
      <c r="D44" s="717"/>
      <c r="E44" s="717"/>
      <c r="F44" s="717"/>
      <c r="G44" s="717"/>
      <c r="H44" s="717"/>
      <c r="I44" s="718"/>
    </row>
    <row r="45" spans="1:10">
      <c r="B45" s="719" t="s">
        <v>38</v>
      </c>
      <c r="C45" s="720"/>
      <c r="D45" s="721"/>
      <c r="E45" s="432"/>
      <c r="F45" s="432"/>
      <c r="G45" s="433"/>
      <c r="H45" s="434"/>
      <c r="I45" s="435"/>
    </row>
    <row r="46" spans="1:10">
      <c r="B46" s="469" t="s">
        <v>561</v>
      </c>
      <c r="C46" s="472"/>
      <c r="D46" s="474"/>
      <c r="E46" s="472"/>
      <c r="F46" s="472"/>
      <c r="G46" s="470"/>
      <c r="H46" s="472"/>
      <c r="I46" s="435"/>
    </row>
    <row r="47" spans="1:10">
      <c r="B47" s="473" t="s">
        <v>553</v>
      </c>
      <c r="C47" s="472"/>
      <c r="D47" s="474"/>
      <c r="E47" s="472"/>
      <c r="F47" s="472"/>
      <c r="G47" s="471">
        <v>0.1</v>
      </c>
      <c r="H47" s="472"/>
      <c r="I47" s="460">
        <f>G47*$I$43</f>
        <v>15733.804646700002</v>
      </c>
    </row>
    <row r="48" spans="1:10">
      <c r="B48" s="473" t="s">
        <v>554</v>
      </c>
      <c r="C48" s="472"/>
      <c r="D48" s="474"/>
      <c r="E48" s="472"/>
      <c r="F48" s="472"/>
      <c r="G48" s="471">
        <v>2.5000000000000001E-3</v>
      </c>
      <c r="H48" s="472"/>
      <c r="I48" s="460">
        <f t="shared" ref="I48:I50" si="6">G48*$I$43</f>
        <v>393.34511616750001</v>
      </c>
    </row>
    <row r="49" spans="2:10">
      <c r="B49" s="473" t="s">
        <v>555</v>
      </c>
      <c r="C49" s="472"/>
      <c r="D49" s="474"/>
      <c r="E49" s="472"/>
      <c r="F49" s="472"/>
      <c r="G49" s="471">
        <v>7.1999999999999998E-3</v>
      </c>
      <c r="H49" s="472"/>
      <c r="I49" s="460">
        <f t="shared" si="6"/>
        <v>1132.8339345623999</v>
      </c>
    </row>
    <row r="50" spans="2:10">
      <c r="B50" s="473" t="s">
        <v>556</v>
      </c>
      <c r="C50" s="472"/>
      <c r="D50" s="474"/>
      <c r="E50" s="472"/>
      <c r="F50" s="472"/>
      <c r="G50" s="471">
        <v>1.4E-3</v>
      </c>
      <c r="H50" s="472"/>
      <c r="I50" s="460">
        <f t="shared" si="6"/>
        <v>220.2732650538</v>
      </c>
    </row>
    <row r="51" spans="2:10">
      <c r="B51" s="458" t="s">
        <v>560</v>
      </c>
      <c r="C51" s="472"/>
      <c r="D51" s="474"/>
      <c r="E51" s="472"/>
      <c r="F51" s="472"/>
      <c r="G51" s="471">
        <v>0.1111</v>
      </c>
      <c r="H51" s="472"/>
      <c r="I51" s="122">
        <f>SUM(I47:I50)</f>
        <v>17480.256962483701</v>
      </c>
      <c r="J51" s="264">
        <v>51</v>
      </c>
    </row>
    <row r="52" spans="2:10">
      <c r="B52" s="469"/>
      <c r="C52" s="472"/>
      <c r="D52" s="474"/>
      <c r="E52" s="472"/>
      <c r="F52" s="472"/>
      <c r="G52" s="472"/>
      <c r="H52" s="472"/>
      <c r="I52" s="435"/>
    </row>
    <row r="53" spans="2:10">
      <c r="B53" s="469" t="s">
        <v>563</v>
      </c>
      <c r="C53" s="472"/>
      <c r="D53" s="474"/>
      <c r="E53" s="472"/>
      <c r="F53" s="472"/>
      <c r="G53" s="472"/>
      <c r="H53" s="472"/>
      <c r="I53" s="435"/>
    </row>
    <row r="54" spans="2:10">
      <c r="B54" s="469" t="s">
        <v>574</v>
      </c>
      <c r="C54" s="472"/>
      <c r="D54" s="474"/>
      <c r="E54" s="472"/>
      <c r="F54" s="472"/>
      <c r="G54" s="471">
        <v>0.12</v>
      </c>
      <c r="H54" s="472"/>
      <c r="I54" s="459">
        <f>G54*I43</f>
        <v>18880.56557604</v>
      </c>
      <c r="J54" s="264">
        <v>54</v>
      </c>
    </row>
    <row r="55" spans="2:10">
      <c r="B55" s="469"/>
      <c r="C55" s="472"/>
      <c r="D55" s="474"/>
      <c r="E55" s="472"/>
      <c r="F55" s="472"/>
      <c r="G55" s="472"/>
      <c r="H55" s="472"/>
      <c r="I55" s="435"/>
    </row>
    <row r="56" spans="2:10">
      <c r="B56" s="469" t="s">
        <v>564</v>
      </c>
      <c r="C56" s="472"/>
      <c r="D56" s="474"/>
      <c r="E56" s="472"/>
      <c r="F56" s="472"/>
      <c r="G56" s="471"/>
      <c r="H56" s="472"/>
      <c r="I56" s="435"/>
    </row>
    <row r="57" spans="2:10">
      <c r="B57" s="473" t="s">
        <v>565</v>
      </c>
      <c r="C57" s="472"/>
      <c r="D57" s="474"/>
      <c r="E57" s="472"/>
      <c r="F57" s="472"/>
      <c r="G57" s="471">
        <v>2.3699999999999999E-2</v>
      </c>
      <c r="H57" s="472"/>
      <c r="I57" s="460">
        <f>G57*$I$43</f>
        <v>3728.9117012678998</v>
      </c>
    </row>
    <row r="58" spans="2:10">
      <c r="B58" s="473" t="s">
        <v>566</v>
      </c>
      <c r="C58" s="472"/>
      <c r="D58" s="474"/>
      <c r="E58" s="472"/>
      <c r="F58" s="472"/>
      <c r="G58" s="471">
        <v>0.1091</v>
      </c>
      <c r="H58" s="472"/>
      <c r="I58" s="460">
        <f t="shared" ref="I58:I59" si="7">G58*$I$43</f>
        <v>17165.5808695497</v>
      </c>
    </row>
    <row r="59" spans="2:10">
      <c r="B59" s="473" t="s">
        <v>567</v>
      </c>
      <c r="C59" s="472"/>
      <c r="D59" s="474"/>
      <c r="E59" s="472"/>
      <c r="F59" s="472"/>
      <c r="G59" s="471">
        <v>7.1800000000000003E-2</v>
      </c>
      <c r="H59" s="472"/>
      <c r="I59" s="460">
        <f t="shared" si="7"/>
        <v>11296.8717363306</v>
      </c>
    </row>
    <row r="60" spans="2:10">
      <c r="B60" s="469"/>
      <c r="C60" s="472"/>
      <c r="D60" s="474"/>
      <c r="E60" s="472"/>
      <c r="F60" s="472"/>
      <c r="G60" s="470"/>
      <c r="H60" s="472"/>
      <c r="I60" s="122">
        <f>SUM(I57:I59)</f>
        <v>32191.3643071482</v>
      </c>
      <c r="J60" s="264">
        <v>60</v>
      </c>
    </row>
    <row r="61" spans="2:10">
      <c r="B61" s="722"/>
      <c r="C61" s="723"/>
      <c r="D61" s="723"/>
      <c r="E61" s="723"/>
      <c r="F61" s="723"/>
      <c r="G61" s="723"/>
      <c r="H61" s="723"/>
      <c r="I61" s="724"/>
    </row>
    <row r="62" spans="2:10">
      <c r="B62" s="725" t="s">
        <v>166</v>
      </c>
      <c r="C62" s="726"/>
      <c r="D62" s="726"/>
      <c r="E62" s="726"/>
      <c r="F62" s="726"/>
      <c r="G62" s="726"/>
      <c r="H62" s="726"/>
      <c r="I62" s="192">
        <f>I51+I54+I60</f>
        <v>68552.186845671909</v>
      </c>
      <c r="J62" s="264">
        <v>62</v>
      </c>
    </row>
    <row r="63" spans="2:10">
      <c r="B63" s="727"/>
      <c r="C63" s="728"/>
      <c r="D63" s="728"/>
      <c r="E63" s="728"/>
      <c r="F63" s="728"/>
      <c r="G63" s="728"/>
      <c r="H63" s="728"/>
      <c r="I63" s="729"/>
    </row>
    <row r="64" spans="2:10">
      <c r="B64" s="727"/>
      <c r="C64" s="728"/>
      <c r="D64" s="728"/>
      <c r="E64" s="728"/>
      <c r="F64" s="728"/>
      <c r="G64" s="728"/>
      <c r="H64" s="728"/>
      <c r="I64" s="729"/>
    </row>
    <row r="65" spans="2:9" ht="13.5" thickBot="1">
      <c r="B65" s="730" t="s">
        <v>167</v>
      </c>
      <c r="C65" s="731"/>
      <c r="D65" s="731"/>
      <c r="E65" s="731"/>
      <c r="F65" s="731"/>
      <c r="G65" s="731"/>
      <c r="H65" s="731"/>
      <c r="I65" s="81">
        <f>I43+I62</f>
        <v>225890.23331267192</v>
      </c>
    </row>
    <row r="66" spans="2:9" ht="13.5" thickBot="1"/>
    <row r="67" spans="2:9">
      <c r="B67" s="710" t="s">
        <v>140</v>
      </c>
      <c r="C67" s="711"/>
      <c r="D67" s="711"/>
      <c r="E67" s="711"/>
      <c r="F67" s="711"/>
      <c r="G67" s="711"/>
      <c r="H67" s="711"/>
      <c r="I67" s="712"/>
    </row>
    <row r="68" spans="2:9" ht="13.5" customHeight="1">
      <c r="B68" s="713"/>
      <c r="C68" s="714"/>
      <c r="D68" s="714"/>
      <c r="E68" s="714"/>
      <c r="F68" s="714"/>
      <c r="G68" s="714"/>
      <c r="H68" s="714"/>
      <c r="I68" s="715"/>
    </row>
    <row r="69" spans="2:9" ht="16.5" customHeight="1">
      <c r="B69" s="701"/>
      <c r="C69" s="702"/>
      <c r="D69" s="702"/>
      <c r="E69" s="702"/>
      <c r="F69" s="702"/>
      <c r="G69" s="702"/>
      <c r="H69" s="702"/>
      <c r="I69" s="703"/>
    </row>
    <row r="70" spans="2:9" ht="7.5" customHeight="1" thickBot="1">
      <c r="B70" s="704"/>
      <c r="C70" s="705"/>
      <c r="D70" s="705"/>
      <c r="E70" s="705"/>
      <c r="F70" s="705"/>
      <c r="G70" s="705"/>
      <c r="H70" s="705"/>
      <c r="I70" s="706"/>
    </row>
  </sheetData>
  <mergeCells count="23">
    <mergeCell ref="B45:D45"/>
    <mergeCell ref="B61:I61"/>
    <mergeCell ref="B7:C7"/>
    <mergeCell ref="B32:I32"/>
    <mergeCell ref="B42:I42"/>
    <mergeCell ref="B43:H43"/>
    <mergeCell ref="B44:I44"/>
    <mergeCell ref="B6:C6"/>
    <mergeCell ref="E6:G6"/>
    <mergeCell ref="H6:I6"/>
    <mergeCell ref="B1:I1"/>
    <mergeCell ref="B2:I2"/>
    <mergeCell ref="B3:I3"/>
    <mergeCell ref="C4:I4"/>
    <mergeCell ref="C5:I5"/>
    <mergeCell ref="B62:H62"/>
    <mergeCell ref="B63:I63"/>
    <mergeCell ref="B64:I64"/>
    <mergeCell ref="B69:I69"/>
    <mergeCell ref="B70:I70"/>
    <mergeCell ref="B67:I67"/>
    <mergeCell ref="B68:I68"/>
    <mergeCell ref="B65:H65"/>
  </mergeCells>
  <pageMargins left="0.511811024" right="0.511811024" top="0.78740157499999996" bottom="0.78740157499999996" header="0.31496062000000002" footer="0.31496062000000002"/>
  <pageSetup paperSize="9" scale="82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1:M48"/>
  <sheetViews>
    <sheetView zoomScaleNormal="100" workbookViewId="0">
      <selection activeCell="R45" sqref="R45"/>
    </sheetView>
  </sheetViews>
  <sheetFormatPr defaultRowHeight="12.75"/>
  <cols>
    <col min="1" max="1" width="5.140625" style="8" customWidth="1"/>
    <col min="2" max="2" width="34" style="8" customWidth="1"/>
    <col min="3" max="3" width="6.5703125" style="8" customWidth="1"/>
    <col min="4" max="4" width="9.140625" style="8"/>
    <col min="5" max="5" width="9.140625" style="8" customWidth="1"/>
    <col min="6" max="6" width="8.28515625" style="8" customWidth="1"/>
    <col min="7" max="7" width="8.140625" style="8" customWidth="1"/>
    <col min="8" max="8" width="12.140625" style="8" bestFit="1" customWidth="1"/>
    <col min="9" max="9" width="15.85546875" style="8" customWidth="1"/>
    <col min="10" max="10" width="9.140625" style="8"/>
    <col min="11" max="11" width="10" style="8" bestFit="1" customWidth="1"/>
    <col min="12" max="16384" width="9.140625" style="8"/>
  </cols>
  <sheetData>
    <row r="1" spans="2:9" ht="13.5" thickBot="1">
      <c r="B1" s="765"/>
      <c r="C1" s="765"/>
      <c r="D1" s="765"/>
      <c r="E1" s="765"/>
      <c r="F1" s="765"/>
      <c r="G1" s="765"/>
      <c r="H1" s="765"/>
      <c r="I1" s="765"/>
    </row>
    <row r="2" spans="2:9" ht="25.5" customHeight="1">
      <c r="B2" s="609" t="str">
        <f>DADOS!D27</f>
        <v>LICENCIAMENTO AMBIENTAL - BR-158/MT</v>
      </c>
      <c r="C2" s="610"/>
      <c r="D2" s="610"/>
      <c r="E2" s="610"/>
      <c r="F2" s="610"/>
      <c r="G2" s="610"/>
      <c r="H2" s="610"/>
      <c r="I2" s="611"/>
    </row>
    <row r="3" spans="2:9" ht="35.25" customHeight="1">
      <c r="B3" s="695" t="s">
        <v>196</v>
      </c>
      <c r="C3" s="766"/>
      <c r="D3" s="766"/>
      <c r="E3" s="766"/>
      <c r="F3" s="766"/>
      <c r="G3" s="766"/>
      <c r="H3" s="766"/>
      <c r="I3" s="767"/>
    </row>
    <row r="4" spans="2:9">
      <c r="B4" s="768">
        <f>DADOS!E30</f>
        <v>43831</v>
      </c>
      <c r="C4" s="769"/>
      <c r="D4" s="769"/>
      <c r="E4" s="769"/>
      <c r="F4" s="769"/>
      <c r="G4" s="769"/>
      <c r="H4" s="769"/>
      <c r="I4" s="770"/>
    </row>
    <row r="5" spans="2:9">
      <c r="B5" s="771" t="s">
        <v>37</v>
      </c>
      <c r="C5" s="772"/>
      <c r="D5" s="772"/>
      <c r="E5" s="772"/>
      <c r="F5" s="772"/>
      <c r="G5" s="772"/>
      <c r="H5" s="772"/>
      <c r="I5" s="773"/>
    </row>
    <row r="6" spans="2:9">
      <c r="B6" s="752" t="s">
        <v>51</v>
      </c>
      <c r="C6" s="753"/>
      <c r="D6" s="75"/>
      <c r="E6" s="605" t="s">
        <v>30</v>
      </c>
      <c r="F6" s="605"/>
      <c r="G6" s="606"/>
      <c r="H6" s="605" t="s">
        <v>52</v>
      </c>
      <c r="I6" s="764"/>
    </row>
    <row r="7" spans="2:9">
      <c r="B7" s="752" t="s">
        <v>53</v>
      </c>
      <c r="C7" s="753"/>
      <c r="D7" s="73"/>
      <c r="E7" s="73"/>
      <c r="F7" s="73"/>
      <c r="G7" s="73"/>
      <c r="H7" s="96"/>
      <c r="I7" s="97"/>
    </row>
    <row r="8" spans="2:9">
      <c r="B8" s="74" t="s">
        <v>55</v>
      </c>
      <c r="C8" s="75" t="s">
        <v>56</v>
      </c>
      <c r="D8" s="76" t="s">
        <v>46</v>
      </c>
      <c r="E8" s="76" t="s">
        <v>57</v>
      </c>
      <c r="F8" s="236" t="s">
        <v>197</v>
      </c>
      <c r="G8" s="76" t="s">
        <v>49</v>
      </c>
      <c r="H8" s="76" t="s">
        <v>54</v>
      </c>
      <c r="I8" s="77" t="s">
        <v>14</v>
      </c>
    </row>
    <row r="9" spans="2:9">
      <c r="B9" s="79" t="s">
        <v>75</v>
      </c>
      <c r="C9" s="92" t="s">
        <v>6</v>
      </c>
      <c r="D9" s="78" t="s">
        <v>195</v>
      </c>
      <c r="E9" s="70">
        <v>1</v>
      </c>
      <c r="F9" s="70">
        <v>15</v>
      </c>
      <c r="G9" s="70">
        <f>F9*E9</f>
        <v>15</v>
      </c>
      <c r="H9" s="92">
        <f>DADOS!F13</f>
        <v>403.75</v>
      </c>
      <c r="I9" s="230">
        <f>H9*G9</f>
        <v>6056.25</v>
      </c>
    </row>
    <row r="10" spans="2:9">
      <c r="B10" s="79" t="s">
        <v>74</v>
      </c>
      <c r="C10" s="92" t="str">
        <f>[1]DADOS!C18</f>
        <v>T4</v>
      </c>
      <c r="D10" s="78" t="s">
        <v>195</v>
      </c>
      <c r="E10" s="70">
        <v>1</v>
      </c>
      <c r="F10" s="70">
        <v>15</v>
      </c>
      <c r="G10" s="70">
        <f>F10*E10</f>
        <v>15</v>
      </c>
      <c r="H10" s="92">
        <f>DADOS!F18</f>
        <v>103.38319910723391</v>
      </c>
      <c r="I10" s="230">
        <f>H10*G10</f>
        <v>1550.7479866085087</v>
      </c>
    </row>
    <row r="11" spans="2:9">
      <c r="B11" s="74"/>
      <c r="C11" s="75"/>
      <c r="D11" s="76"/>
      <c r="E11" s="76"/>
      <c r="F11" s="76"/>
      <c r="G11" s="76"/>
      <c r="H11" s="76"/>
      <c r="I11" s="229">
        <f>SUM(I9:I10)</f>
        <v>7606.9979866085087</v>
      </c>
    </row>
    <row r="12" spans="2:9">
      <c r="B12" s="774"/>
      <c r="C12" s="687"/>
      <c r="D12" s="687"/>
      <c r="E12" s="687"/>
      <c r="F12" s="687"/>
      <c r="G12" s="687"/>
      <c r="H12" s="687"/>
      <c r="I12" s="623"/>
    </row>
    <row r="13" spans="2:9">
      <c r="B13" s="74" t="s">
        <v>58</v>
      </c>
      <c r="C13" s="73"/>
      <c r="D13" s="70"/>
      <c r="E13" s="70"/>
      <c r="F13" s="70"/>
      <c r="G13" s="70"/>
      <c r="H13" s="166"/>
      <c r="I13" s="167"/>
    </row>
    <row r="14" spans="2:9">
      <c r="B14" s="64" t="s">
        <v>141</v>
      </c>
      <c r="C14" s="73"/>
      <c r="D14" s="70"/>
      <c r="E14" s="70"/>
      <c r="F14" s="70"/>
      <c r="G14" s="80">
        <v>0.84040000000000004</v>
      </c>
      <c r="H14" s="166">
        <f>I11</f>
        <v>7606.9979866085087</v>
      </c>
      <c r="I14" s="122">
        <f>H14*G14</f>
        <v>6392.9211079457909</v>
      </c>
    </row>
    <row r="15" spans="2:9">
      <c r="B15" s="774"/>
      <c r="C15" s="687"/>
      <c r="D15" s="687"/>
      <c r="E15" s="687"/>
      <c r="F15" s="687"/>
      <c r="G15" s="687"/>
      <c r="H15" s="687"/>
      <c r="I15" s="623"/>
    </row>
    <row r="16" spans="2:9">
      <c r="B16" s="74" t="s">
        <v>59</v>
      </c>
      <c r="C16" s="73"/>
      <c r="D16" s="70"/>
      <c r="E16" s="70"/>
      <c r="F16" s="70"/>
      <c r="G16" s="70"/>
      <c r="H16" s="166"/>
      <c r="I16" s="167"/>
    </row>
    <row r="17" spans="2:9">
      <c r="B17" s="64" t="s">
        <v>142</v>
      </c>
      <c r="C17" s="73"/>
      <c r="D17" s="70"/>
      <c r="E17" s="70"/>
      <c r="F17" s="70"/>
      <c r="G17" s="80">
        <v>0.3</v>
      </c>
      <c r="H17" s="166">
        <f>I11</f>
        <v>7606.9979866085087</v>
      </c>
      <c r="I17" s="122">
        <f>H17*G17</f>
        <v>2282.0993959825523</v>
      </c>
    </row>
    <row r="18" spans="2:9">
      <c r="B18" s="774"/>
      <c r="C18" s="687"/>
      <c r="D18" s="687"/>
      <c r="E18" s="687"/>
      <c r="F18" s="687"/>
      <c r="G18" s="687"/>
      <c r="H18" s="687"/>
      <c r="I18" s="623"/>
    </row>
    <row r="19" spans="2:9">
      <c r="B19" s="774"/>
      <c r="C19" s="687"/>
      <c r="D19" s="687"/>
      <c r="E19" s="687"/>
      <c r="F19" s="687"/>
      <c r="G19" s="687"/>
      <c r="H19" s="687"/>
      <c r="I19" s="623"/>
    </row>
    <row r="20" spans="2:9">
      <c r="B20" s="74" t="s">
        <v>200</v>
      </c>
      <c r="C20" s="73"/>
      <c r="D20" s="76"/>
      <c r="E20" s="96"/>
      <c r="F20" s="96"/>
      <c r="G20" s="96"/>
      <c r="H20" s="96"/>
      <c r="I20" s="97"/>
    </row>
    <row r="21" spans="2:9">
      <c r="B21" s="74" t="s">
        <v>150</v>
      </c>
      <c r="C21" s="73"/>
      <c r="D21" s="76"/>
      <c r="E21" s="76" t="s">
        <v>48</v>
      </c>
      <c r="F21" s="76" t="s">
        <v>60</v>
      </c>
      <c r="G21" s="76" t="s">
        <v>49</v>
      </c>
      <c r="H21" s="76" t="s">
        <v>54</v>
      </c>
      <c r="I21" s="77" t="s">
        <v>14</v>
      </c>
    </row>
    <row r="22" spans="2:9">
      <c r="B22" s="191" t="str">
        <f>DADOS!H8</f>
        <v>SEDAN - 71 A 115 CV</v>
      </c>
      <c r="C22" s="73"/>
      <c r="D22" s="70"/>
      <c r="E22" s="70">
        <v>1</v>
      </c>
      <c r="F22" s="70">
        <v>15</v>
      </c>
      <c r="G22" s="87">
        <f>F22*E22</f>
        <v>15</v>
      </c>
      <c r="H22" s="166">
        <f>DADOS!K8</f>
        <v>112.20822569570039</v>
      </c>
      <c r="I22" s="122">
        <f>H22*G22</f>
        <v>1683.123385435506</v>
      </c>
    </row>
    <row r="23" spans="2:9">
      <c r="B23" s="774"/>
      <c r="C23" s="687"/>
      <c r="D23" s="687"/>
      <c r="E23" s="687"/>
      <c r="F23" s="687"/>
      <c r="G23" s="687"/>
      <c r="H23" s="687"/>
      <c r="I23" s="623"/>
    </row>
    <row r="24" spans="2:9" ht="12" customHeight="1">
      <c r="B24" s="774"/>
      <c r="C24" s="687"/>
      <c r="D24" s="687"/>
      <c r="E24" s="687"/>
      <c r="F24" s="687"/>
      <c r="G24" s="687"/>
      <c r="H24" s="687"/>
      <c r="I24" s="623"/>
    </row>
    <row r="25" spans="2:9" ht="13.5" thickBot="1">
      <c r="B25" s="781" t="s">
        <v>76</v>
      </c>
      <c r="C25" s="821"/>
      <c r="D25" s="821"/>
      <c r="E25" s="821"/>
      <c r="F25" s="821"/>
      <c r="G25" s="821"/>
      <c r="H25" s="822"/>
      <c r="I25" s="81">
        <f>I11+I14+I17+I22</f>
        <v>17965.141875972357</v>
      </c>
    </row>
    <row r="26" spans="2:9">
      <c r="B26" s="818"/>
      <c r="C26" s="819"/>
      <c r="D26" s="819"/>
      <c r="E26" s="819"/>
      <c r="F26" s="819"/>
      <c r="G26" s="819"/>
      <c r="H26" s="819"/>
      <c r="I26" s="820"/>
    </row>
    <row r="27" spans="2:9">
      <c r="B27" s="719" t="s">
        <v>38</v>
      </c>
      <c r="C27" s="804"/>
      <c r="D27" s="805"/>
      <c r="E27" s="70"/>
      <c r="F27" s="70"/>
      <c r="G27" s="87"/>
      <c r="H27" s="166"/>
      <c r="I27" s="122"/>
    </row>
    <row r="28" spans="2:9">
      <c r="B28" s="806" t="s">
        <v>146</v>
      </c>
      <c r="C28" s="807"/>
      <c r="D28" s="807"/>
      <c r="E28" s="70"/>
      <c r="F28" s="70"/>
      <c r="G28" s="87"/>
      <c r="H28" s="166"/>
      <c r="I28" s="122"/>
    </row>
    <row r="29" spans="2:9">
      <c r="B29" s="808" t="s">
        <v>165</v>
      </c>
      <c r="C29" s="807"/>
      <c r="D29" s="807"/>
      <c r="E29" s="70"/>
      <c r="F29" s="70"/>
      <c r="G29" s="80">
        <v>0.12</v>
      </c>
      <c r="H29" s="166">
        <f>I25</f>
        <v>17965.141875972357</v>
      </c>
      <c r="I29" s="122">
        <f>H29*G29</f>
        <v>2155.8170251166825</v>
      </c>
    </row>
    <row r="30" spans="2:9">
      <c r="B30" s="808" t="s">
        <v>147</v>
      </c>
      <c r="C30" s="807"/>
      <c r="D30" s="807"/>
      <c r="E30" s="70"/>
      <c r="F30" s="70"/>
      <c r="G30" s="70"/>
      <c r="H30" s="166"/>
      <c r="I30" s="122"/>
    </row>
    <row r="31" spans="2:9">
      <c r="B31" s="808" t="s">
        <v>169</v>
      </c>
      <c r="C31" s="807"/>
      <c r="D31" s="807"/>
      <c r="E31" s="70"/>
      <c r="F31" s="70"/>
      <c r="G31" s="80">
        <v>0.16619999999999999</v>
      </c>
      <c r="H31" s="166">
        <f>H29+I29</f>
        <v>20120.958901089038</v>
      </c>
      <c r="I31" s="122">
        <f>H31*G31</f>
        <v>3344.1033693609979</v>
      </c>
    </row>
    <row r="32" spans="2:9" ht="13.5" thickBot="1">
      <c r="B32" s="812"/>
      <c r="C32" s="813"/>
      <c r="D32" s="813"/>
      <c r="E32" s="813"/>
      <c r="F32" s="813"/>
      <c r="G32" s="813"/>
      <c r="H32" s="813"/>
      <c r="I32" s="814"/>
    </row>
    <row r="33" spans="2:13">
      <c r="B33" s="725" t="s">
        <v>166</v>
      </c>
      <c r="C33" s="815"/>
      <c r="D33" s="815"/>
      <c r="E33" s="815"/>
      <c r="F33" s="815"/>
      <c r="G33" s="815"/>
      <c r="H33" s="815"/>
      <c r="I33" s="192">
        <f>SUM(I29+I31)</f>
        <v>5499.92039447768</v>
      </c>
    </row>
    <row r="34" spans="2:13" ht="13.5" thickBot="1">
      <c r="B34" s="812"/>
      <c r="C34" s="813"/>
      <c r="D34" s="813"/>
      <c r="E34" s="813"/>
      <c r="F34" s="813"/>
      <c r="G34" s="813"/>
      <c r="H34" s="813"/>
      <c r="I34" s="814"/>
    </row>
    <row r="35" spans="2:13" ht="13.5" thickBot="1">
      <c r="B35" s="816" t="s">
        <v>167</v>
      </c>
      <c r="C35" s="817"/>
      <c r="D35" s="817"/>
      <c r="E35" s="817"/>
      <c r="F35" s="817"/>
      <c r="G35" s="817"/>
      <c r="H35" s="817"/>
      <c r="I35" s="193">
        <f>I25+I33</f>
        <v>23465.062270450035</v>
      </c>
    </row>
    <row r="36" spans="2:13">
      <c r="B36" s="226"/>
      <c r="C36" s="227"/>
      <c r="D36" s="227"/>
      <c r="E36" s="227"/>
      <c r="F36" s="227"/>
      <c r="G36" s="227"/>
      <c r="H36" s="227"/>
      <c r="I36" s="228"/>
    </row>
    <row r="37" spans="2:13">
      <c r="B37" s="226"/>
      <c r="C37" s="227"/>
      <c r="D37" s="227"/>
      <c r="E37" s="227"/>
      <c r="F37" s="227"/>
      <c r="G37" s="227"/>
      <c r="H37" s="227"/>
      <c r="I37" s="228"/>
    </row>
    <row r="38" spans="2:13">
      <c r="B38" s="226"/>
      <c r="C38" s="227"/>
      <c r="D38" s="227"/>
      <c r="E38" s="227"/>
      <c r="F38" s="227"/>
      <c r="G38" s="227"/>
      <c r="H38" s="227"/>
      <c r="I38" s="228"/>
    </row>
    <row r="39" spans="2:13" ht="13.5" thickBot="1"/>
    <row r="40" spans="2:13">
      <c r="B40" s="787" t="s">
        <v>143</v>
      </c>
      <c r="C40" s="788"/>
      <c r="D40" s="788"/>
      <c r="E40" s="788"/>
      <c r="F40" s="788"/>
      <c r="G40" s="788"/>
      <c r="H40" s="788"/>
      <c r="I40" s="789"/>
    </row>
    <row r="41" spans="2:13">
      <c r="B41" s="94"/>
      <c r="C41" s="93"/>
      <c r="D41" s="93"/>
      <c r="E41" s="93"/>
      <c r="F41" s="93"/>
      <c r="G41" s="93"/>
      <c r="H41" s="93"/>
      <c r="I41" s="95"/>
    </row>
    <row r="42" spans="2:13">
      <c r="B42" s="244" t="s">
        <v>199</v>
      </c>
      <c r="C42" s="93"/>
      <c r="D42" s="93"/>
      <c r="E42" s="93"/>
      <c r="F42" s="93"/>
      <c r="G42" s="93"/>
      <c r="H42" s="93"/>
      <c r="I42" s="95"/>
    </row>
    <row r="43" spans="2:13">
      <c r="B43" s="790" t="s">
        <v>201</v>
      </c>
      <c r="C43" s="791"/>
      <c r="D43" s="791"/>
      <c r="E43" s="791"/>
      <c r="F43" s="791"/>
      <c r="G43" s="791"/>
      <c r="H43" s="791"/>
      <c r="I43" s="792"/>
    </row>
    <row r="44" spans="2:13" ht="15.75" customHeight="1" thickBot="1">
      <c r="B44" s="809" t="s">
        <v>151</v>
      </c>
      <c r="C44" s="810"/>
      <c r="D44" s="810"/>
      <c r="E44" s="810"/>
      <c r="F44" s="810"/>
      <c r="G44" s="810"/>
      <c r="H44" s="810"/>
      <c r="I44" s="811"/>
    </row>
    <row r="45" spans="2:13" ht="39.75" customHeight="1">
      <c r="B45" s="802"/>
      <c r="C45" s="803"/>
      <c r="D45" s="803"/>
      <c r="E45" s="803"/>
      <c r="F45" s="803"/>
      <c r="G45" s="803"/>
      <c r="H45" s="803"/>
      <c r="I45" s="803"/>
    </row>
    <row r="46" spans="2:13">
      <c r="B46" s="800"/>
      <c r="C46" s="801"/>
      <c r="D46" s="801"/>
      <c r="E46" s="801"/>
      <c r="F46" s="801"/>
      <c r="G46" s="801"/>
      <c r="H46" s="801"/>
      <c r="I46" s="801"/>
      <c r="J46" s="98"/>
      <c r="K46" s="98"/>
      <c r="L46" s="98"/>
      <c r="M46" s="98"/>
    </row>
    <row r="48" spans="2:13">
      <c r="B48" s="221"/>
    </row>
  </sheetData>
  <mergeCells count="31">
    <mergeCell ref="B1:I1"/>
    <mergeCell ref="B2:I2"/>
    <mergeCell ref="B3:I3"/>
    <mergeCell ref="B4:I4"/>
    <mergeCell ref="B5:I5"/>
    <mergeCell ref="B6:C6"/>
    <mergeCell ref="E6:G6"/>
    <mergeCell ref="H6:I6"/>
    <mergeCell ref="B7:C7"/>
    <mergeCell ref="B26:I26"/>
    <mergeCell ref="B25:H25"/>
    <mergeCell ref="B12:I12"/>
    <mergeCell ref="B15:I15"/>
    <mergeCell ref="B18:I18"/>
    <mergeCell ref="B19:I19"/>
    <mergeCell ref="B23:I23"/>
    <mergeCell ref="B24:I24"/>
    <mergeCell ref="B46:I46"/>
    <mergeCell ref="B45:I45"/>
    <mergeCell ref="B27:D27"/>
    <mergeCell ref="B28:D28"/>
    <mergeCell ref="B29:D29"/>
    <mergeCell ref="B30:D30"/>
    <mergeCell ref="B31:D31"/>
    <mergeCell ref="B40:I40"/>
    <mergeCell ref="B43:I43"/>
    <mergeCell ref="B44:I44"/>
    <mergeCell ref="B32:I32"/>
    <mergeCell ref="B33:H33"/>
    <mergeCell ref="B34:I34"/>
    <mergeCell ref="B35:H35"/>
  </mergeCells>
  <pageMargins left="0.511811024" right="0.511811024" top="0.78740157499999996" bottom="0.78740157499999996" header="0.31496062000000002" footer="0.31496062000000002"/>
  <pageSetup paperSize="9" scale="91"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5"/>
  <sheetViews>
    <sheetView topLeftCell="A34" zoomScaleNormal="100" workbookViewId="0">
      <selection activeCell="J45" sqref="J45"/>
    </sheetView>
  </sheetViews>
  <sheetFormatPr defaultRowHeight="12.75"/>
  <cols>
    <col min="1" max="1" width="4.85546875" style="8" customWidth="1"/>
    <col min="2" max="2" width="36.42578125" style="8" customWidth="1"/>
    <col min="3" max="3" width="9.140625" style="8"/>
    <col min="4" max="4" width="10" style="8" customWidth="1"/>
    <col min="5" max="6" width="9.140625" style="8"/>
    <col min="7" max="7" width="10.28515625" style="8" bestFit="1" customWidth="1"/>
    <col min="8" max="8" width="13.5703125" style="8" customWidth="1"/>
    <col min="9" max="9" width="16.5703125" style="8" customWidth="1"/>
    <col min="10" max="16" width="9.140625" style="8"/>
    <col min="17" max="17" width="11.28515625" style="8" bestFit="1" customWidth="1"/>
    <col min="18" max="16384" width="9.140625" style="8"/>
  </cols>
  <sheetData>
    <row r="1" spans="2:10" ht="13.5" thickBot="1">
      <c r="B1" s="823"/>
      <c r="C1" s="823"/>
      <c r="D1" s="823"/>
      <c r="E1" s="823"/>
      <c r="F1" s="823"/>
      <c r="G1" s="823"/>
      <c r="H1" s="823"/>
      <c r="I1" s="823"/>
    </row>
    <row r="2" spans="2:10" ht="20.25" customHeight="1">
      <c r="B2" s="609" t="s">
        <v>297</v>
      </c>
      <c r="C2" s="610"/>
      <c r="D2" s="610"/>
      <c r="E2" s="610"/>
      <c r="F2" s="610"/>
      <c r="G2" s="610"/>
      <c r="H2" s="610"/>
      <c r="I2" s="611"/>
    </row>
    <row r="3" spans="2:10" ht="18" customHeight="1">
      <c r="B3" s="695" t="s">
        <v>298</v>
      </c>
      <c r="C3" s="824"/>
      <c r="D3" s="824"/>
      <c r="E3" s="824"/>
      <c r="F3" s="824"/>
      <c r="G3" s="824"/>
      <c r="H3" s="824"/>
      <c r="I3" s="825"/>
    </row>
    <row r="4" spans="2:10">
      <c r="B4" s="245">
        <f>DADOS!E30</f>
        <v>43831</v>
      </c>
      <c r="C4" s="826"/>
      <c r="D4" s="827"/>
      <c r="E4" s="827"/>
      <c r="F4" s="827"/>
      <c r="G4" s="827"/>
      <c r="H4" s="827"/>
      <c r="I4" s="828"/>
    </row>
    <row r="5" spans="2:10">
      <c r="B5" s="248" t="s">
        <v>37</v>
      </c>
      <c r="C5" s="829"/>
      <c r="D5" s="827"/>
      <c r="E5" s="827"/>
      <c r="F5" s="827"/>
      <c r="G5" s="827"/>
      <c r="H5" s="827"/>
      <c r="I5" s="828"/>
    </row>
    <row r="6" spans="2:10" ht="15" customHeight="1">
      <c r="B6" s="752" t="s">
        <v>51</v>
      </c>
      <c r="C6" s="753"/>
      <c r="D6" s="75"/>
      <c r="E6" s="605" t="s">
        <v>30</v>
      </c>
      <c r="F6" s="605"/>
      <c r="G6" s="606"/>
      <c r="H6" s="605" t="s">
        <v>52</v>
      </c>
      <c r="I6" s="764"/>
    </row>
    <row r="7" spans="2:10" ht="12.75" customHeight="1">
      <c r="B7" s="752" t="s">
        <v>572</v>
      </c>
      <c r="C7" s="753"/>
      <c r="D7" s="73"/>
      <c r="E7" s="73"/>
      <c r="F7" s="73"/>
      <c r="G7" s="73"/>
      <c r="H7" s="246"/>
      <c r="I7" s="249"/>
    </row>
    <row r="8" spans="2:10">
      <c r="B8" s="74" t="s">
        <v>55</v>
      </c>
      <c r="C8" s="75" t="s">
        <v>568</v>
      </c>
      <c r="D8" s="246" t="s">
        <v>46</v>
      </c>
      <c r="E8" s="246" t="s">
        <v>57</v>
      </c>
      <c r="F8" s="246" t="s">
        <v>197</v>
      </c>
      <c r="G8" s="246" t="s">
        <v>49</v>
      </c>
      <c r="H8" s="246" t="s">
        <v>54</v>
      </c>
      <c r="I8" s="249" t="s">
        <v>14</v>
      </c>
    </row>
    <row r="9" spans="2:10" ht="15.75" customHeight="1">
      <c r="B9" s="90" t="s">
        <v>232</v>
      </c>
      <c r="C9" s="247" t="str">
        <f>DADOS_CONSULT!A38</f>
        <v>P8058</v>
      </c>
      <c r="D9" s="78" t="s">
        <v>195</v>
      </c>
      <c r="E9" s="247">
        <v>1</v>
      </c>
      <c r="F9" s="247">
        <v>30</v>
      </c>
      <c r="G9" s="247">
        <f>F9*E9</f>
        <v>30</v>
      </c>
      <c r="H9" s="86">
        <f>DADOS_CONSULT!D38/22</f>
        <v>436.06318181818182</v>
      </c>
      <c r="I9" s="89">
        <f>H9*G9</f>
        <v>13081.895454545454</v>
      </c>
    </row>
    <row r="10" spans="2:10" ht="14.25" customHeight="1" thickBot="1">
      <c r="B10" s="91" t="s">
        <v>74</v>
      </c>
      <c r="C10" s="71" t="str">
        <f>DADOS_CONSULT!A16</f>
        <v>P8025</v>
      </c>
      <c r="D10" s="78" t="s">
        <v>195</v>
      </c>
      <c r="E10" s="71">
        <v>1</v>
      </c>
      <c r="F10" s="71">
        <v>30</v>
      </c>
      <c r="G10" s="71">
        <f>F10*E10</f>
        <v>30</v>
      </c>
      <c r="H10" s="88">
        <f>DADOS_CONSULT!D16/22</f>
        <v>54.499545454545455</v>
      </c>
      <c r="I10" s="392">
        <f>H10*G10</f>
        <v>1634.9863636363636</v>
      </c>
    </row>
    <row r="11" spans="2:10" ht="14.25" customHeight="1" thickBot="1">
      <c r="B11" s="476" t="s">
        <v>557</v>
      </c>
      <c r="C11" s="71"/>
      <c r="D11" s="78"/>
      <c r="E11" s="71"/>
      <c r="F11" s="71"/>
      <c r="G11" s="71"/>
      <c r="H11" s="391"/>
      <c r="I11" s="393">
        <f>SUM(I9:I10)</f>
        <v>14716.881818181819</v>
      </c>
      <c r="J11" s="8">
        <v>11</v>
      </c>
    </row>
    <row r="12" spans="2:10" ht="14.25" customHeight="1">
      <c r="B12" s="830"/>
      <c r="C12" s="687"/>
      <c r="D12" s="687"/>
      <c r="E12" s="687"/>
      <c r="F12" s="687"/>
      <c r="G12" s="687"/>
      <c r="H12" s="687"/>
      <c r="I12" s="831"/>
    </row>
    <row r="13" spans="2:10">
      <c r="B13" s="74" t="s">
        <v>575</v>
      </c>
      <c r="C13" s="437"/>
      <c r="D13" s="432"/>
      <c r="E13" s="432"/>
      <c r="F13" s="432"/>
      <c r="G13" s="436"/>
      <c r="H13" s="438"/>
      <c r="I13" s="468"/>
    </row>
    <row r="14" spans="2:10">
      <c r="B14" s="90" t="s">
        <v>232</v>
      </c>
      <c r="C14" s="437"/>
      <c r="D14" s="432"/>
      <c r="E14" s="432"/>
      <c r="F14" s="432"/>
      <c r="G14" s="479">
        <f>DADOS_CONSULT!$W$38/100</f>
        <v>0.88090000000000002</v>
      </c>
      <c r="H14" s="432"/>
      <c r="I14" s="468">
        <f>G14*I9</f>
        <v>11523.841705909092</v>
      </c>
    </row>
    <row r="15" spans="2:10" ht="13.5" thickBot="1">
      <c r="B15" s="91" t="s">
        <v>74</v>
      </c>
      <c r="C15" s="437"/>
      <c r="D15" s="432"/>
      <c r="E15" s="432"/>
      <c r="F15" s="432"/>
      <c r="G15" s="479">
        <f>DADOS_CONSULT!$W$16/100</f>
        <v>1.5485</v>
      </c>
      <c r="H15" s="432"/>
      <c r="I15" s="468">
        <f>G15*I10</f>
        <v>2531.7763840909092</v>
      </c>
    </row>
    <row r="16" spans="2:10" ht="13.5" thickBot="1">
      <c r="B16" s="476" t="s">
        <v>558</v>
      </c>
      <c r="C16" s="437"/>
      <c r="D16" s="432"/>
      <c r="E16" s="432"/>
      <c r="F16" s="432"/>
      <c r="G16" s="436"/>
      <c r="H16" s="432"/>
      <c r="I16" s="480">
        <f>SUM(I14:I15)</f>
        <v>14055.61809</v>
      </c>
      <c r="J16" s="8">
        <v>16</v>
      </c>
    </row>
    <row r="17" spans="2:17" ht="12" customHeight="1">
      <c r="B17" s="832"/>
      <c r="C17" s="779"/>
      <c r="D17" s="779"/>
      <c r="E17" s="779"/>
      <c r="F17" s="779"/>
      <c r="G17" s="779"/>
      <c r="H17" s="779"/>
      <c r="I17" s="833"/>
    </row>
    <row r="18" spans="2:17">
      <c r="B18" s="832"/>
      <c r="C18" s="779"/>
      <c r="D18" s="779"/>
      <c r="E18" s="779"/>
      <c r="F18" s="779"/>
      <c r="G18" s="779"/>
      <c r="H18" s="779"/>
      <c r="I18" s="780"/>
    </row>
    <row r="19" spans="2:17">
      <c r="B19" s="74" t="s">
        <v>573</v>
      </c>
      <c r="C19" s="437"/>
      <c r="D19" s="439"/>
      <c r="E19" s="437"/>
      <c r="F19" s="437"/>
      <c r="G19" s="437"/>
      <c r="H19" s="437"/>
      <c r="I19" s="440"/>
    </row>
    <row r="20" spans="2:17">
      <c r="B20" s="74" t="s">
        <v>299</v>
      </c>
      <c r="C20" s="73"/>
      <c r="D20" s="448"/>
      <c r="E20" s="448" t="s">
        <v>48</v>
      </c>
      <c r="F20" s="448" t="s">
        <v>60</v>
      </c>
      <c r="G20" s="448" t="s">
        <v>49</v>
      </c>
      <c r="H20" s="448" t="s">
        <v>54</v>
      </c>
      <c r="I20" s="450" t="s">
        <v>14</v>
      </c>
    </row>
    <row r="21" spans="2:17">
      <c r="B21" s="64" t="s">
        <v>576</v>
      </c>
      <c r="C21" s="73"/>
      <c r="D21" s="448"/>
      <c r="E21" s="449">
        <v>1</v>
      </c>
      <c r="F21" s="449">
        <v>15</v>
      </c>
      <c r="G21" s="449">
        <f t="shared" ref="G21:G22" si="0">F21*E21</f>
        <v>15</v>
      </c>
      <c r="H21" s="466">
        <f>DADOS_CONSULT!$AG$36</f>
        <v>177</v>
      </c>
      <c r="I21" s="468">
        <f>H21*G21</f>
        <v>2655</v>
      </c>
    </row>
    <row r="22" spans="2:17">
      <c r="B22" s="91" t="s">
        <v>577</v>
      </c>
      <c r="C22" s="73"/>
      <c r="D22" s="448"/>
      <c r="E22" s="449">
        <v>1</v>
      </c>
      <c r="F22" s="449">
        <v>15</v>
      </c>
      <c r="G22" s="449">
        <f t="shared" si="0"/>
        <v>15</v>
      </c>
      <c r="H22" s="466">
        <f>DADOS_CONSULT!$AG$36</f>
        <v>177</v>
      </c>
      <c r="I22" s="468">
        <f>H22*G22</f>
        <v>2655</v>
      </c>
    </row>
    <row r="23" spans="2:17">
      <c r="B23" s="64"/>
      <c r="C23" s="73"/>
      <c r="D23" s="448"/>
      <c r="E23" s="449"/>
      <c r="F23" s="449"/>
      <c r="G23" s="449"/>
      <c r="H23" s="466"/>
      <c r="I23" s="467">
        <f>SUM(I21:I22)</f>
        <v>5310</v>
      </c>
      <c r="J23" s="8">
        <v>23</v>
      </c>
    </row>
    <row r="24" spans="2:17">
      <c r="B24" s="74" t="s">
        <v>150</v>
      </c>
      <c r="C24" s="73"/>
      <c r="D24" s="448"/>
      <c r="E24" s="448" t="s">
        <v>48</v>
      </c>
      <c r="F24" s="448" t="s">
        <v>60</v>
      </c>
      <c r="G24" s="448" t="s">
        <v>552</v>
      </c>
      <c r="H24" s="448" t="s">
        <v>54</v>
      </c>
      <c r="I24" s="450" t="s">
        <v>14</v>
      </c>
    </row>
    <row r="25" spans="2:17" ht="13.5" thickBot="1">
      <c r="B25" s="64" t="str">
        <f>DADOS!H10</f>
        <v>CAMINHONETE - 140 A 165 CV</v>
      </c>
      <c r="C25" s="73"/>
      <c r="D25" s="449"/>
      <c r="E25" s="449">
        <v>1</v>
      </c>
      <c r="F25" s="449">
        <v>15</v>
      </c>
      <c r="G25" s="87">
        <f>F25*8</f>
        <v>120</v>
      </c>
      <c r="H25" s="465">
        <f>DADOS_CONSULT!AF13</f>
        <v>46.14</v>
      </c>
      <c r="I25" s="475">
        <f>H25*G25</f>
        <v>5536.8</v>
      </c>
      <c r="J25" s="8">
        <v>25</v>
      </c>
    </row>
    <row r="26" spans="2:17" ht="13.5" thickBot="1">
      <c r="B26" s="309" t="s">
        <v>559</v>
      </c>
      <c r="C26" s="73"/>
      <c r="D26" s="73"/>
      <c r="E26" s="73"/>
      <c r="F26" s="73"/>
      <c r="G26" s="73"/>
      <c r="H26" s="477"/>
      <c r="I26" s="478">
        <f>I23+I25</f>
        <v>10846.8</v>
      </c>
      <c r="J26" s="8">
        <v>26</v>
      </c>
      <c r="Q26" s="194"/>
    </row>
    <row r="27" spans="2:17" ht="12" customHeight="1">
      <c r="B27" s="834"/>
      <c r="C27" s="785"/>
      <c r="D27" s="785"/>
      <c r="E27" s="785"/>
      <c r="F27" s="785"/>
      <c r="G27" s="785"/>
      <c r="H27" s="785"/>
      <c r="I27" s="835"/>
    </row>
    <row r="28" spans="2:17" ht="13.5" customHeight="1">
      <c r="B28" s="725" t="s">
        <v>76</v>
      </c>
      <c r="C28" s="726"/>
      <c r="D28" s="726"/>
      <c r="E28" s="726"/>
      <c r="F28" s="726"/>
      <c r="G28" s="726"/>
      <c r="H28" s="726"/>
      <c r="I28" s="192">
        <f>SUM(I11+I16+I26)</f>
        <v>39619.299908181812</v>
      </c>
      <c r="J28" s="8">
        <v>28</v>
      </c>
    </row>
    <row r="29" spans="2:17">
      <c r="B29" s="784"/>
      <c r="C29" s="785"/>
      <c r="D29" s="785"/>
      <c r="E29" s="785"/>
      <c r="F29" s="785"/>
      <c r="G29" s="785"/>
      <c r="H29" s="785"/>
      <c r="I29" s="786"/>
    </row>
    <row r="30" spans="2:17">
      <c r="B30" s="719" t="s">
        <v>38</v>
      </c>
      <c r="C30" s="720"/>
      <c r="D30" s="721"/>
      <c r="E30" s="432"/>
      <c r="F30" s="432"/>
      <c r="G30" s="433"/>
      <c r="H30" s="434"/>
      <c r="I30" s="435"/>
    </row>
    <row r="31" spans="2:17">
      <c r="B31" s="469" t="s">
        <v>561</v>
      </c>
      <c r="C31" s="472"/>
      <c r="D31" s="474"/>
      <c r="E31" s="472"/>
      <c r="F31" s="472"/>
      <c r="G31" s="470"/>
      <c r="H31" s="472"/>
      <c r="I31" s="435"/>
    </row>
    <row r="32" spans="2:17">
      <c r="B32" s="473" t="s">
        <v>553</v>
      </c>
      <c r="C32" s="472"/>
      <c r="D32" s="474"/>
      <c r="E32" s="472"/>
      <c r="F32" s="472"/>
      <c r="G32" s="471">
        <v>0.1</v>
      </c>
      <c r="H32" s="472"/>
      <c r="I32" s="460">
        <f>G32*$I$28</f>
        <v>3961.9299908181815</v>
      </c>
    </row>
    <row r="33" spans="2:13">
      <c r="B33" s="473" t="s">
        <v>554</v>
      </c>
      <c r="C33" s="472"/>
      <c r="D33" s="474"/>
      <c r="E33" s="472"/>
      <c r="F33" s="472"/>
      <c r="G33" s="471">
        <v>2.5000000000000001E-3</v>
      </c>
      <c r="H33" s="472"/>
      <c r="I33" s="460">
        <f t="shared" ref="I33:I35" si="1">G33*$I$28</f>
        <v>99.048249770454532</v>
      </c>
    </row>
    <row r="34" spans="2:13">
      <c r="B34" s="473" t="s">
        <v>555</v>
      </c>
      <c r="C34" s="472"/>
      <c r="D34" s="474"/>
      <c r="E34" s="472"/>
      <c r="F34" s="472"/>
      <c r="G34" s="471">
        <v>7.1999999999999998E-3</v>
      </c>
      <c r="H34" s="472"/>
      <c r="I34" s="460">
        <f t="shared" si="1"/>
        <v>285.25895933890905</v>
      </c>
    </row>
    <row r="35" spans="2:13">
      <c r="B35" s="473" t="s">
        <v>556</v>
      </c>
      <c r="C35" s="472"/>
      <c r="D35" s="474"/>
      <c r="E35" s="472"/>
      <c r="F35" s="472"/>
      <c r="G35" s="471">
        <v>1.4E-3</v>
      </c>
      <c r="H35" s="472"/>
      <c r="I35" s="460">
        <f t="shared" si="1"/>
        <v>55.467019871454539</v>
      </c>
    </row>
    <row r="36" spans="2:13">
      <c r="B36" s="458" t="s">
        <v>560</v>
      </c>
      <c r="C36" s="472"/>
      <c r="D36" s="474"/>
      <c r="E36" s="472"/>
      <c r="F36" s="472"/>
      <c r="G36" s="471">
        <v>0.1111</v>
      </c>
      <c r="H36" s="472"/>
      <c r="I36" s="122">
        <f>SUM(I32:I35)</f>
        <v>4401.7042197990004</v>
      </c>
      <c r="J36" s="8">
        <v>36</v>
      </c>
    </row>
    <row r="37" spans="2:13">
      <c r="B37" s="469"/>
      <c r="C37" s="472"/>
      <c r="D37" s="474"/>
      <c r="E37" s="472"/>
      <c r="F37" s="472"/>
      <c r="G37" s="472"/>
      <c r="H37" s="472"/>
      <c r="I37" s="435"/>
    </row>
    <row r="38" spans="2:13">
      <c r="B38" s="469" t="s">
        <v>563</v>
      </c>
      <c r="C38" s="472"/>
      <c r="D38" s="474"/>
      <c r="E38" s="472"/>
      <c r="F38" s="472"/>
      <c r="G38" s="472"/>
      <c r="H38" s="472"/>
      <c r="I38" s="435"/>
    </row>
    <row r="39" spans="2:13">
      <c r="B39" s="469" t="s">
        <v>574</v>
      </c>
      <c r="C39" s="472"/>
      <c r="D39" s="474"/>
      <c r="E39" s="472"/>
      <c r="F39" s="472"/>
      <c r="G39" s="471">
        <v>0.12</v>
      </c>
      <c r="H39" s="472"/>
      <c r="I39" s="459">
        <f>G39*I28</f>
        <v>4754.3159889818171</v>
      </c>
      <c r="J39" s="8">
        <v>39</v>
      </c>
    </row>
    <row r="40" spans="2:13">
      <c r="B40" s="469"/>
      <c r="C40" s="472"/>
      <c r="D40" s="474"/>
      <c r="E40" s="472"/>
      <c r="F40" s="472"/>
      <c r="G40" s="472"/>
      <c r="H40" s="472"/>
      <c r="I40" s="435"/>
    </row>
    <row r="41" spans="2:13">
      <c r="B41" s="469" t="s">
        <v>564</v>
      </c>
      <c r="C41" s="472"/>
      <c r="D41" s="474"/>
      <c r="E41" s="472"/>
      <c r="F41" s="472"/>
      <c r="G41" s="471"/>
      <c r="H41" s="472"/>
      <c r="I41" s="435"/>
    </row>
    <row r="42" spans="2:13">
      <c r="B42" s="473" t="s">
        <v>565</v>
      </c>
      <c r="C42" s="472"/>
      <c r="D42" s="474"/>
      <c r="E42" s="472"/>
      <c r="F42" s="472"/>
      <c r="G42" s="471">
        <v>2.3699999999999999E-2</v>
      </c>
      <c r="H42" s="472"/>
      <c r="I42" s="460">
        <f>G42*$I$28</f>
        <v>938.97740782390895</v>
      </c>
    </row>
    <row r="43" spans="2:13">
      <c r="B43" s="473" t="s">
        <v>566</v>
      </c>
      <c r="C43" s="472"/>
      <c r="D43" s="474"/>
      <c r="E43" s="472"/>
      <c r="F43" s="472"/>
      <c r="G43" s="471">
        <v>0.1091</v>
      </c>
      <c r="H43" s="472"/>
      <c r="I43" s="460">
        <f t="shared" ref="I43:I44" si="2">G43*$I$28</f>
        <v>4322.4656199826359</v>
      </c>
    </row>
    <row r="44" spans="2:13">
      <c r="B44" s="473" t="s">
        <v>567</v>
      </c>
      <c r="C44" s="472"/>
      <c r="D44" s="474"/>
      <c r="E44" s="472"/>
      <c r="F44" s="472"/>
      <c r="G44" s="471">
        <v>7.1800000000000003E-2</v>
      </c>
      <c r="H44" s="472"/>
      <c r="I44" s="460">
        <f t="shared" si="2"/>
        <v>2844.6657334074544</v>
      </c>
    </row>
    <row r="45" spans="2:13">
      <c r="B45" s="469"/>
      <c r="C45" s="472"/>
      <c r="D45" s="474"/>
      <c r="E45" s="472"/>
      <c r="F45" s="472"/>
      <c r="G45" s="470"/>
      <c r="H45" s="472"/>
      <c r="I45" s="122">
        <f>SUM(I42:I44)</f>
        <v>8106.1087612139991</v>
      </c>
      <c r="J45" s="8">
        <v>45</v>
      </c>
    </row>
    <row r="46" spans="2:13">
      <c r="B46" s="722"/>
      <c r="C46" s="723"/>
      <c r="D46" s="723"/>
      <c r="E46" s="723"/>
      <c r="F46" s="723"/>
      <c r="G46" s="723"/>
      <c r="H46" s="723"/>
      <c r="I46" s="724"/>
      <c r="M46" s="194"/>
    </row>
    <row r="47" spans="2:13" ht="13.5" customHeight="1">
      <c r="B47" s="725" t="s">
        <v>166</v>
      </c>
      <c r="C47" s="726"/>
      <c r="D47" s="726"/>
      <c r="E47" s="726"/>
      <c r="F47" s="726"/>
      <c r="G47" s="726"/>
      <c r="H47" s="726"/>
      <c r="I47" s="192">
        <f>I36+I39+I45</f>
        <v>17262.128969994817</v>
      </c>
      <c r="J47" s="8">
        <v>47</v>
      </c>
    </row>
    <row r="48" spans="2:13" customFormat="1">
      <c r="B48" s="727"/>
      <c r="C48" s="728"/>
      <c r="D48" s="728"/>
      <c r="E48" s="728"/>
      <c r="F48" s="728"/>
      <c r="G48" s="728"/>
      <c r="H48" s="728"/>
      <c r="I48" s="729"/>
    </row>
    <row r="49" spans="2:10" ht="14.25" customHeight="1" thickBot="1">
      <c r="B49" s="730" t="s">
        <v>167</v>
      </c>
      <c r="C49" s="731"/>
      <c r="D49" s="731"/>
      <c r="E49" s="731"/>
      <c r="F49" s="731"/>
      <c r="G49" s="731"/>
      <c r="H49" s="731"/>
      <c r="I49" s="81">
        <f>SUM(I28+I47)</f>
        <v>56881.42887817663</v>
      </c>
      <c r="J49" s="69">
        <v>49</v>
      </c>
    </row>
    <row r="50" spans="2:10" ht="13.5" thickBot="1"/>
    <row r="51" spans="2:10">
      <c r="B51" s="845" t="s">
        <v>140</v>
      </c>
      <c r="C51" s="788"/>
      <c r="D51" s="788"/>
      <c r="E51" s="788"/>
      <c r="F51" s="788"/>
      <c r="G51" s="788"/>
      <c r="H51" s="788"/>
      <c r="I51" s="789"/>
    </row>
    <row r="52" spans="2:10">
      <c r="B52" s="260"/>
      <c r="C52" s="261"/>
      <c r="D52" s="261"/>
      <c r="E52" s="261"/>
      <c r="F52" s="261"/>
      <c r="G52" s="261"/>
      <c r="H52" s="261"/>
      <c r="I52" s="262"/>
    </row>
    <row r="53" spans="2:10" ht="13.5" customHeight="1">
      <c r="B53" s="836"/>
      <c r="C53" s="837"/>
      <c r="D53" s="837"/>
      <c r="E53" s="837"/>
      <c r="F53" s="837"/>
      <c r="G53" s="837"/>
      <c r="H53" s="837"/>
      <c r="I53" s="838"/>
    </row>
    <row r="54" spans="2:10" ht="16.5" customHeight="1">
      <c r="B54" s="839"/>
      <c r="C54" s="840"/>
      <c r="D54" s="840"/>
      <c r="E54" s="840"/>
      <c r="F54" s="840"/>
      <c r="G54" s="840"/>
      <c r="H54" s="840"/>
      <c r="I54" s="841"/>
    </row>
    <row r="55" spans="2:10" ht="7.5" customHeight="1" thickBot="1">
      <c r="B55" s="842"/>
      <c r="C55" s="843"/>
      <c r="D55" s="843"/>
      <c r="E55" s="843"/>
      <c r="F55" s="843"/>
      <c r="G55" s="843"/>
      <c r="H55" s="843"/>
      <c r="I55" s="844"/>
    </row>
  </sheetData>
  <mergeCells count="24">
    <mergeCell ref="B53:I53"/>
    <mergeCell ref="B54:I54"/>
    <mergeCell ref="B55:I55"/>
    <mergeCell ref="B46:I46"/>
    <mergeCell ref="B47:H47"/>
    <mergeCell ref="B48:I48"/>
    <mergeCell ref="B49:H49"/>
    <mergeCell ref="B51:I51"/>
    <mergeCell ref="B28:H28"/>
    <mergeCell ref="B29:I29"/>
    <mergeCell ref="B30:D30"/>
    <mergeCell ref="B6:C6"/>
    <mergeCell ref="E6:G6"/>
    <mergeCell ref="H6:I6"/>
    <mergeCell ref="B7:C7"/>
    <mergeCell ref="B12:I12"/>
    <mergeCell ref="B17:I17"/>
    <mergeCell ref="B18:I18"/>
    <mergeCell ref="B27:I27"/>
    <mergeCell ref="B1:I1"/>
    <mergeCell ref="B2:I2"/>
    <mergeCell ref="B3:I3"/>
    <mergeCell ref="C4:I4"/>
    <mergeCell ref="C5:I5"/>
  </mergeCells>
  <pageMargins left="0.511811024" right="0.511811024" top="0.78740157499999996" bottom="0.78740157499999996" header="0.31496062000000002" footer="0.31496062000000002"/>
  <pageSetup paperSize="9" scale="82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1:K43"/>
  <sheetViews>
    <sheetView zoomScaleNormal="100" zoomScaleSheetLayoutView="110" workbookViewId="0">
      <selection activeCell="L18" sqref="L18"/>
    </sheetView>
  </sheetViews>
  <sheetFormatPr defaultColWidth="11.42578125" defaultRowHeight="14.1" customHeight="1"/>
  <cols>
    <col min="1" max="1" width="2.85546875" customWidth="1"/>
    <col min="2" max="2" width="41.85546875" customWidth="1"/>
    <col min="3" max="3" width="10.42578125" customWidth="1"/>
    <col min="4" max="5" width="11" customWidth="1"/>
    <col min="6" max="6" width="13.140625" customWidth="1"/>
    <col min="7" max="7" width="14.140625" customWidth="1"/>
    <col min="8" max="8" width="15.140625" customWidth="1"/>
    <col min="9" max="9" width="15.85546875" customWidth="1"/>
  </cols>
  <sheetData>
    <row r="1" spans="2:10" ht="10.5" customHeight="1" thickBot="1"/>
    <row r="2" spans="2:10" ht="18" customHeight="1">
      <c r="B2" s="609" t="str">
        <f>DADOS!D27</f>
        <v>LICENCIAMENTO AMBIENTAL - BR-158/MT</v>
      </c>
      <c r="C2" s="610"/>
      <c r="D2" s="610"/>
      <c r="E2" s="610"/>
      <c r="F2" s="610"/>
      <c r="G2" s="610"/>
      <c r="H2" s="610"/>
      <c r="I2" s="611"/>
    </row>
    <row r="3" spans="2:10" ht="16.5" customHeight="1">
      <c r="B3" s="612" t="s">
        <v>45</v>
      </c>
      <c r="C3" s="613"/>
      <c r="D3" s="613"/>
      <c r="E3" s="613"/>
      <c r="F3" s="613"/>
      <c r="G3" s="613"/>
      <c r="H3" s="613"/>
      <c r="I3" s="614"/>
    </row>
    <row r="4" spans="2:10" ht="14.1" customHeight="1">
      <c r="B4" s="615">
        <f>DADOS!E30</f>
        <v>43831</v>
      </c>
      <c r="C4" s="616"/>
      <c r="D4" s="616"/>
      <c r="E4" s="616"/>
      <c r="F4" s="616"/>
      <c r="G4" s="616"/>
      <c r="H4" s="616"/>
      <c r="I4" s="617"/>
    </row>
    <row r="5" spans="2:10" ht="13.5" customHeight="1">
      <c r="B5" s="621" t="s">
        <v>155</v>
      </c>
      <c r="C5" s="622"/>
      <c r="D5" s="622"/>
      <c r="E5" s="622"/>
      <c r="F5" s="622"/>
      <c r="G5" s="622"/>
      <c r="H5" s="622"/>
      <c r="I5" s="623"/>
    </row>
    <row r="6" spans="2:10" ht="14.1" customHeight="1">
      <c r="B6" s="618" t="s">
        <v>25</v>
      </c>
      <c r="C6" s="619"/>
      <c r="D6" s="619"/>
      <c r="E6" s="619"/>
      <c r="F6" s="619"/>
      <c r="G6" s="619"/>
      <c r="H6" s="619"/>
      <c r="I6" s="620"/>
    </row>
    <row r="7" spans="2:10" ht="26.25" customHeight="1">
      <c r="B7" s="199" t="s">
        <v>25</v>
      </c>
      <c r="C7" s="68" t="s">
        <v>68</v>
      </c>
      <c r="D7" s="195" t="s">
        <v>148</v>
      </c>
      <c r="E7" s="68" t="s">
        <v>69</v>
      </c>
      <c r="F7" s="196" t="s">
        <v>70</v>
      </c>
      <c r="G7" s="196" t="s">
        <v>71</v>
      </c>
      <c r="H7" s="197" t="s">
        <v>73</v>
      </c>
      <c r="I7" s="200" t="s">
        <v>34</v>
      </c>
    </row>
    <row r="8" spans="2:10" ht="27" customHeight="1">
      <c r="B8" s="336" t="s">
        <v>149</v>
      </c>
      <c r="C8" s="337">
        <v>1</v>
      </c>
      <c r="D8" s="338">
        <v>3</v>
      </c>
      <c r="E8" s="339" t="s">
        <v>18</v>
      </c>
      <c r="F8" s="339">
        <v>50</v>
      </c>
      <c r="G8" s="339" t="s">
        <v>72</v>
      </c>
      <c r="H8" s="340">
        <f>DADOS!I26</f>
        <v>0.3</v>
      </c>
      <c r="I8" s="341">
        <f>H8*F8*D8*C8</f>
        <v>45</v>
      </c>
    </row>
    <row r="9" spans="2:10" ht="20.25" customHeight="1">
      <c r="B9" s="589" t="s">
        <v>170</v>
      </c>
      <c r="C9" s="587">
        <v>25</v>
      </c>
      <c r="D9" s="591">
        <v>3</v>
      </c>
      <c r="E9" s="342" t="s">
        <v>18</v>
      </c>
      <c r="F9" s="339">
        <v>100</v>
      </c>
      <c r="G9" s="339" t="s">
        <v>72</v>
      </c>
      <c r="H9" s="340">
        <f>DADOS!I26</f>
        <v>0.3</v>
      </c>
      <c r="I9" s="341">
        <f>H9*F9*D9*C9</f>
        <v>2250</v>
      </c>
    </row>
    <row r="10" spans="2:10" ht="19.5" customHeight="1">
      <c r="B10" s="590"/>
      <c r="C10" s="588"/>
      <c r="D10" s="592"/>
      <c r="E10" s="342" t="s">
        <v>77</v>
      </c>
      <c r="F10" s="339">
        <v>50</v>
      </c>
      <c r="G10" s="339" t="s">
        <v>72</v>
      </c>
      <c r="H10" s="340">
        <f>DADOS!I28</f>
        <v>2.13</v>
      </c>
      <c r="I10" s="341">
        <f>H10*F10*D9*C9</f>
        <v>7987.5</v>
      </c>
    </row>
    <row r="11" spans="2:10" ht="19.5" customHeight="1">
      <c r="B11" s="589" t="s">
        <v>160</v>
      </c>
      <c r="C11" s="587">
        <v>25</v>
      </c>
      <c r="D11" s="591">
        <v>3</v>
      </c>
      <c r="E11" s="342" t="s">
        <v>18</v>
      </c>
      <c r="F11" s="339">
        <v>100</v>
      </c>
      <c r="G11" s="339" t="s">
        <v>72</v>
      </c>
      <c r="H11" s="340">
        <f>DADOS!I26</f>
        <v>0.3</v>
      </c>
      <c r="I11" s="341">
        <f>H11*F11*D11*C11</f>
        <v>2250</v>
      </c>
    </row>
    <row r="12" spans="2:10" ht="19.5" customHeight="1">
      <c r="B12" s="590"/>
      <c r="C12" s="588"/>
      <c r="D12" s="592"/>
      <c r="E12" s="342" t="s">
        <v>77</v>
      </c>
      <c r="F12" s="339">
        <v>50</v>
      </c>
      <c r="G12" s="339" t="s">
        <v>72</v>
      </c>
      <c r="H12" s="340">
        <f>DADOS!I28</f>
        <v>2.13</v>
      </c>
      <c r="I12" s="341">
        <f>H12*F12*D11*C11</f>
        <v>7987.5</v>
      </c>
    </row>
    <row r="13" spans="2:10" ht="20.25" customHeight="1">
      <c r="B13" s="589" t="s">
        <v>178</v>
      </c>
      <c r="C13" s="587">
        <f>J13</f>
        <v>63</v>
      </c>
      <c r="D13" s="591">
        <v>3</v>
      </c>
      <c r="E13" s="342" t="s">
        <v>18</v>
      </c>
      <c r="F13" s="339">
        <v>100</v>
      </c>
      <c r="G13" s="339" t="s">
        <v>72</v>
      </c>
      <c r="H13" s="340">
        <f>DADOS!I26</f>
        <v>0.3</v>
      </c>
      <c r="I13" s="341">
        <f>H13*F13*D13*C13</f>
        <v>5670</v>
      </c>
      <c r="J13">
        <f>1+1+1+12+24+24</f>
        <v>63</v>
      </c>
    </row>
    <row r="14" spans="2:10" ht="20.25" customHeight="1">
      <c r="B14" s="590"/>
      <c r="C14" s="593"/>
      <c r="D14" s="592"/>
      <c r="E14" s="342" t="s">
        <v>77</v>
      </c>
      <c r="F14" s="339">
        <v>50</v>
      </c>
      <c r="G14" s="339" t="s">
        <v>72</v>
      </c>
      <c r="H14" s="340">
        <f>DADOS!I28</f>
        <v>2.13</v>
      </c>
      <c r="I14" s="341">
        <f>H14*F14*D13*C13</f>
        <v>20128.5</v>
      </c>
    </row>
    <row r="15" spans="2:10" ht="23.25" customHeight="1">
      <c r="B15" s="589" t="s">
        <v>179</v>
      </c>
      <c r="C15" s="587">
        <f>J15</f>
        <v>27</v>
      </c>
      <c r="D15" s="591">
        <v>3</v>
      </c>
      <c r="E15" s="342" t="s">
        <v>18</v>
      </c>
      <c r="F15" s="339">
        <v>100</v>
      </c>
      <c r="G15" s="339" t="s">
        <v>72</v>
      </c>
      <c r="H15" s="340">
        <f>DADOS!I26</f>
        <v>0.3</v>
      </c>
      <c r="I15" s="341">
        <f>H15*F15*D15*C15</f>
        <v>2430</v>
      </c>
      <c r="J15">
        <f>1+1+1+1+7+8+8</f>
        <v>27</v>
      </c>
    </row>
    <row r="16" spans="2:10" ht="27" customHeight="1">
      <c r="B16" s="590"/>
      <c r="C16" s="593"/>
      <c r="D16" s="592"/>
      <c r="E16" s="342" t="s">
        <v>77</v>
      </c>
      <c r="F16" s="339">
        <v>50</v>
      </c>
      <c r="G16" s="339" t="s">
        <v>72</v>
      </c>
      <c r="H16" s="340">
        <f>DADOS!I28</f>
        <v>2.13</v>
      </c>
      <c r="I16" s="341">
        <f>H16*F16*D15*C15</f>
        <v>8626.5</v>
      </c>
    </row>
    <row r="17" spans="2:11" ht="27" customHeight="1">
      <c r="B17" s="589" t="s">
        <v>181</v>
      </c>
      <c r="C17" s="587">
        <f>J17</f>
        <v>9</v>
      </c>
      <c r="D17" s="591">
        <v>3</v>
      </c>
      <c r="E17" s="342" t="s">
        <v>18</v>
      </c>
      <c r="F17" s="339">
        <v>100</v>
      </c>
      <c r="G17" s="339" t="s">
        <v>72</v>
      </c>
      <c r="H17" s="340">
        <f>DADOS!I26</f>
        <v>0.3</v>
      </c>
      <c r="I17" s="341">
        <f>H17*F17*D17*C17</f>
        <v>810</v>
      </c>
      <c r="J17">
        <f>9</f>
        <v>9</v>
      </c>
    </row>
    <row r="18" spans="2:11" ht="27" customHeight="1">
      <c r="B18" s="590"/>
      <c r="C18" s="593"/>
      <c r="D18" s="592"/>
      <c r="E18" s="342" t="s">
        <v>77</v>
      </c>
      <c r="F18" s="339">
        <v>50</v>
      </c>
      <c r="G18" s="339" t="s">
        <v>72</v>
      </c>
      <c r="H18" s="340">
        <f>DADOS!I28</f>
        <v>2.13</v>
      </c>
      <c r="I18" s="341">
        <f>H18*F18*D17*C17</f>
        <v>2875.5</v>
      </c>
    </row>
    <row r="19" spans="2:11" ht="16.5" customHeight="1">
      <c r="B19" s="589" t="s">
        <v>176</v>
      </c>
      <c r="C19" s="598">
        <v>4</v>
      </c>
      <c r="D19" s="591">
        <v>3</v>
      </c>
      <c r="E19" s="342" t="s">
        <v>18</v>
      </c>
      <c r="F19" s="339">
        <v>150</v>
      </c>
      <c r="G19" s="339" t="s">
        <v>72</v>
      </c>
      <c r="H19" s="340">
        <f>DADOS!I26</f>
        <v>0.3</v>
      </c>
      <c r="I19" s="341">
        <f>H19*F19*D19*C19</f>
        <v>540</v>
      </c>
      <c r="J19">
        <f>24/6</f>
        <v>4</v>
      </c>
    </row>
    <row r="20" spans="2:11" ht="16.5" customHeight="1">
      <c r="B20" s="590"/>
      <c r="C20" s="597"/>
      <c r="D20" s="597"/>
      <c r="E20" s="342" t="s">
        <v>77</v>
      </c>
      <c r="F20" s="339">
        <v>70</v>
      </c>
      <c r="G20" s="339" t="s">
        <v>72</v>
      </c>
      <c r="H20" s="340">
        <f>DADOS!I28</f>
        <v>2.13</v>
      </c>
      <c r="I20" s="341">
        <f>H20*F20*D19*C19</f>
        <v>1789.1999999999998</v>
      </c>
    </row>
    <row r="21" spans="2:11" ht="16.5" customHeight="1">
      <c r="B21" s="589" t="s">
        <v>177</v>
      </c>
      <c r="C21" s="598">
        <v>1</v>
      </c>
      <c r="D21" s="591">
        <v>3</v>
      </c>
      <c r="E21" s="342" t="s">
        <v>18</v>
      </c>
      <c r="F21" s="339">
        <v>500</v>
      </c>
      <c r="G21" s="339" t="s">
        <v>72</v>
      </c>
      <c r="H21" s="340">
        <f>DADOS!I26</f>
        <v>0.3</v>
      </c>
      <c r="I21" s="341">
        <f>H21*F21*D21*C21</f>
        <v>450</v>
      </c>
    </row>
    <row r="22" spans="2:11" ht="16.5" customHeight="1" thickBot="1">
      <c r="B22" s="590"/>
      <c r="C22" s="597"/>
      <c r="D22" s="597"/>
      <c r="E22" s="342" t="s">
        <v>77</v>
      </c>
      <c r="F22" s="343">
        <v>250</v>
      </c>
      <c r="G22" s="339" t="s">
        <v>72</v>
      </c>
      <c r="H22" s="340">
        <f>DADOS!I28</f>
        <v>2.13</v>
      </c>
      <c r="I22" s="341">
        <f>H22*F22*D21*C21</f>
        <v>1597.5</v>
      </c>
    </row>
    <row r="23" spans="2:11" ht="13.5" customHeight="1" thickBot="1">
      <c r="B23" s="599" t="s">
        <v>153</v>
      </c>
      <c r="C23" s="600"/>
      <c r="D23" s="600"/>
      <c r="E23" s="600"/>
      <c r="F23" s="600"/>
      <c r="G23" s="600"/>
      <c r="H23" s="601"/>
      <c r="I23" s="215">
        <f>SUM(I8:I22)</f>
        <v>65437.2</v>
      </c>
      <c r="K23" s="126"/>
    </row>
    <row r="24" spans="2:11" ht="13.5" customHeight="1">
      <c r="B24" s="602"/>
      <c r="C24" s="603"/>
      <c r="D24" s="603"/>
      <c r="E24" s="603"/>
      <c r="F24" s="603"/>
      <c r="G24" s="603"/>
      <c r="H24" s="603"/>
      <c r="I24" s="604"/>
      <c r="K24" s="126"/>
    </row>
    <row r="25" spans="2:11" ht="13.5" customHeight="1">
      <c r="B25" s="607" t="s">
        <v>154</v>
      </c>
      <c r="C25" s="608"/>
      <c r="D25" s="608"/>
      <c r="E25" s="608"/>
      <c r="F25" s="608"/>
      <c r="G25" s="608"/>
      <c r="H25" s="608"/>
      <c r="I25" s="190"/>
    </row>
    <row r="26" spans="2:11" ht="13.5" customHeight="1">
      <c r="B26" s="198" t="s">
        <v>31</v>
      </c>
      <c r="C26" s="76" t="s">
        <v>32</v>
      </c>
      <c r="D26" s="605" t="s">
        <v>30</v>
      </c>
      <c r="E26" s="605"/>
      <c r="F26" s="606"/>
      <c r="G26" s="76" t="s">
        <v>33</v>
      </c>
      <c r="H26" s="76" t="s">
        <v>34</v>
      </c>
      <c r="I26" s="190"/>
    </row>
    <row r="27" spans="2:11" ht="14.1" customHeight="1">
      <c r="B27" s="64"/>
      <c r="C27" s="73"/>
      <c r="D27" s="76" t="s">
        <v>48</v>
      </c>
      <c r="E27" s="76" t="s">
        <v>63</v>
      </c>
      <c r="F27" s="76" t="s">
        <v>49</v>
      </c>
      <c r="G27" s="73"/>
      <c r="H27" s="73"/>
      <c r="I27" s="190"/>
    </row>
    <row r="28" spans="2:11" ht="14.1" customHeight="1">
      <c r="B28" s="344" t="str">
        <f>DADOS!H10</f>
        <v>CAMINHONETE - 140 A 165 CV</v>
      </c>
      <c r="C28" s="345" t="s">
        <v>35</v>
      </c>
      <c r="D28" s="346">
        <v>1</v>
      </c>
      <c r="E28" s="345">
        <v>12</v>
      </c>
      <c r="F28" s="345">
        <f>E28*D28</f>
        <v>12</v>
      </c>
      <c r="G28" s="347">
        <f>DADOS!J10</f>
        <v>5032.5385531760967</v>
      </c>
      <c r="H28" s="347">
        <f>F28*G28</f>
        <v>60390.46263811316</v>
      </c>
      <c r="I28" s="190"/>
    </row>
    <row r="29" spans="2:11" ht="14.1" customHeight="1">
      <c r="B29" s="344" t="s">
        <v>162</v>
      </c>
      <c r="C29" s="345" t="s">
        <v>35</v>
      </c>
      <c r="D29" s="346">
        <v>1</v>
      </c>
      <c r="E29" s="345">
        <v>12</v>
      </c>
      <c r="F29" s="345">
        <f>E29*D29</f>
        <v>12</v>
      </c>
      <c r="G29" s="347">
        <f>DADOS!J32</f>
        <v>1889.718573837127</v>
      </c>
      <c r="H29" s="347">
        <f>F29*G29</f>
        <v>22676.622886045523</v>
      </c>
      <c r="I29" s="190"/>
    </row>
    <row r="30" spans="2:11" ht="14.1" customHeight="1">
      <c r="B30" s="344" t="s">
        <v>161</v>
      </c>
      <c r="C30" s="345" t="s">
        <v>35</v>
      </c>
      <c r="D30" s="346">
        <v>1</v>
      </c>
      <c r="E30" s="345">
        <v>12</v>
      </c>
      <c r="F30" s="345">
        <f>E30*D30</f>
        <v>12</v>
      </c>
      <c r="G30" s="347">
        <f>DADOS!J38</f>
        <v>812.73231017295177</v>
      </c>
      <c r="H30" s="347">
        <f>F30*G30</f>
        <v>9752.7877220754217</v>
      </c>
      <c r="I30" s="190"/>
    </row>
    <row r="31" spans="2:11" ht="14.1" customHeight="1">
      <c r="B31" s="348" t="s">
        <v>159</v>
      </c>
      <c r="C31" s="345"/>
      <c r="D31" s="346"/>
      <c r="E31" s="345"/>
      <c r="F31" s="345"/>
      <c r="G31" s="347"/>
      <c r="H31" s="349">
        <f>SUM(H28:H30)</f>
        <v>92819.873246234099</v>
      </c>
      <c r="I31" s="190"/>
    </row>
    <row r="32" spans="2:11" ht="14.1" customHeight="1">
      <c r="B32" s="344" t="s">
        <v>163</v>
      </c>
      <c r="C32" s="345" t="s">
        <v>35</v>
      </c>
      <c r="D32" s="346">
        <v>1</v>
      </c>
      <c r="E32" s="345">
        <v>12</v>
      </c>
      <c r="F32" s="345">
        <f>E32*D32</f>
        <v>12</v>
      </c>
      <c r="G32" s="347">
        <f>DADOS!J34</f>
        <v>1896.4541692978314</v>
      </c>
      <c r="H32" s="347">
        <f>F32*G32</f>
        <v>22757.450031573979</v>
      </c>
      <c r="I32" s="190"/>
    </row>
    <row r="33" spans="2:9" ht="14.1" customHeight="1">
      <c r="B33" s="344" t="s">
        <v>164</v>
      </c>
      <c r="C33" s="345" t="s">
        <v>35</v>
      </c>
      <c r="D33" s="346">
        <v>1</v>
      </c>
      <c r="E33" s="345">
        <v>12</v>
      </c>
      <c r="F33" s="345">
        <f>E33*D33</f>
        <v>12</v>
      </c>
      <c r="G33" s="347">
        <f>DADOS!J39</f>
        <v>677.29661986769577</v>
      </c>
      <c r="H33" s="347">
        <f>F33*G33</f>
        <v>8127.5594384123488</v>
      </c>
      <c r="I33" s="190"/>
    </row>
    <row r="34" spans="2:9" ht="14.1" customHeight="1">
      <c r="B34" s="350" t="s">
        <v>159</v>
      </c>
      <c r="C34" s="351"/>
      <c r="D34" s="352"/>
      <c r="E34" s="351"/>
      <c r="F34" s="351"/>
      <c r="G34" s="353"/>
      <c r="H34" s="354">
        <f>SUM(H32:H33)</f>
        <v>30885.009469986326</v>
      </c>
      <c r="I34" s="204"/>
    </row>
    <row r="35" spans="2:9" ht="6.75" customHeight="1">
      <c r="B35" s="355"/>
      <c r="C35" s="356"/>
      <c r="D35" s="357"/>
      <c r="E35" s="356"/>
      <c r="F35" s="356"/>
      <c r="G35" s="358"/>
      <c r="H35" s="359"/>
      <c r="I35" s="205"/>
    </row>
    <row r="36" spans="2:9" ht="14.1" customHeight="1">
      <c r="B36" s="213"/>
      <c r="C36" s="211"/>
      <c r="D36" s="211"/>
      <c r="E36" s="211"/>
      <c r="F36" s="211"/>
      <c r="G36" s="211"/>
      <c r="H36" s="212">
        <f>SUM(H31+H34)</f>
        <v>123704.88271622043</v>
      </c>
      <c r="I36" s="214"/>
    </row>
    <row r="37" spans="2:9" ht="9" customHeight="1" thickBot="1">
      <c r="B37" s="201"/>
      <c r="C37" s="111"/>
      <c r="D37" s="111"/>
      <c r="E37" s="111"/>
      <c r="F37" s="111"/>
      <c r="G37" s="111"/>
      <c r="H37" s="111"/>
      <c r="I37" s="202"/>
    </row>
    <row r="38" spans="2:9" ht="14.1" customHeight="1" thickBot="1">
      <c r="B38" s="594" t="s">
        <v>152</v>
      </c>
      <c r="C38" s="595"/>
      <c r="D38" s="595"/>
      <c r="E38" s="595"/>
      <c r="F38" s="595"/>
      <c r="G38" s="595"/>
      <c r="H38" s="596"/>
      <c r="I38" s="203">
        <f>H36+I23</f>
        <v>189142.08271622041</v>
      </c>
    </row>
    <row r="43" spans="2:9" ht="19.5" customHeight="1">
      <c r="B43" s="117"/>
    </row>
  </sheetData>
  <mergeCells count="31">
    <mergeCell ref="B2:I2"/>
    <mergeCell ref="B3:I3"/>
    <mergeCell ref="B4:I4"/>
    <mergeCell ref="B6:I6"/>
    <mergeCell ref="B5:I5"/>
    <mergeCell ref="B38:H38"/>
    <mergeCell ref="D19:D20"/>
    <mergeCell ref="C21:C22"/>
    <mergeCell ref="B23:H23"/>
    <mergeCell ref="B24:I24"/>
    <mergeCell ref="D21:D22"/>
    <mergeCell ref="D26:F26"/>
    <mergeCell ref="B25:H25"/>
    <mergeCell ref="B21:B22"/>
    <mergeCell ref="C19:C20"/>
    <mergeCell ref="C9:C10"/>
    <mergeCell ref="B11:B12"/>
    <mergeCell ref="D13:D14"/>
    <mergeCell ref="C13:C14"/>
    <mergeCell ref="B19:B20"/>
    <mergeCell ref="C15:C16"/>
    <mergeCell ref="D15:D16"/>
    <mergeCell ref="B17:B18"/>
    <mergeCell ref="C11:C12"/>
    <mergeCell ref="D9:D10"/>
    <mergeCell ref="D11:D12"/>
    <mergeCell ref="B9:B10"/>
    <mergeCell ref="C17:C18"/>
    <mergeCell ref="D17:D18"/>
    <mergeCell ref="B15:B16"/>
    <mergeCell ref="B13:B14"/>
  </mergeCells>
  <phoneticPr fontId="18" type="noConversion"/>
  <pageMargins left="0.511811024" right="0.511811024" top="0.78740157499999996" bottom="0.78740157499999996" header="0.31496062000000002" footer="0.31496062000000002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AH40"/>
  <sheetViews>
    <sheetView topLeftCell="A37" zoomScaleNormal="100" zoomScaleSheetLayoutView="100" workbookViewId="0">
      <selection activeCell="AC13" sqref="AC13"/>
    </sheetView>
  </sheetViews>
  <sheetFormatPr defaultRowHeight="12.75"/>
  <cols>
    <col min="1" max="1" width="2.7109375" style="168" customWidth="1"/>
    <col min="2" max="2" width="6.28515625" style="168" customWidth="1"/>
    <col min="3" max="3" width="72" style="168" customWidth="1"/>
    <col min="4" max="4" width="1.5703125" style="168" hidden="1" customWidth="1"/>
    <col min="5" max="28" width="3.7109375" style="168" customWidth="1"/>
    <col min="29" max="29" width="5.5703125" style="289" customWidth="1"/>
    <col min="30" max="30" width="32.140625" style="168" customWidth="1"/>
    <col min="31" max="31" width="19.7109375" style="168" customWidth="1"/>
    <col min="32" max="32" width="16.42578125" style="168" customWidth="1"/>
    <col min="33" max="16384" width="9.140625" style="168"/>
  </cols>
  <sheetData>
    <row r="1" spans="2:32" ht="13.5" thickBot="1"/>
    <row r="2" spans="2:32" ht="15">
      <c r="B2" s="624" t="str">
        <f>DADOS!D27</f>
        <v>LICENCIAMENTO AMBIENTAL - BR-158/MT</v>
      </c>
      <c r="C2" s="625"/>
      <c r="D2" s="625"/>
      <c r="E2" s="625"/>
      <c r="F2" s="625"/>
      <c r="G2" s="625"/>
      <c r="H2" s="625"/>
      <c r="I2" s="625"/>
      <c r="J2" s="626"/>
      <c r="K2" s="626"/>
      <c r="L2" s="626"/>
      <c r="M2" s="626"/>
      <c r="N2" s="626"/>
      <c r="O2" s="626"/>
      <c r="P2" s="626"/>
      <c r="Q2" s="626"/>
      <c r="R2" s="626"/>
      <c r="S2" s="626"/>
      <c r="T2" s="626"/>
      <c r="U2" s="626"/>
      <c r="V2" s="626"/>
      <c r="W2" s="626"/>
      <c r="X2" s="626"/>
      <c r="Y2" s="626"/>
      <c r="Z2" s="626"/>
      <c r="AA2" s="626"/>
      <c r="AB2" s="626"/>
      <c r="AC2" s="627"/>
      <c r="AD2" s="628"/>
    </row>
    <row r="3" spans="2:32" ht="15">
      <c r="B3" s="629" t="s">
        <v>180</v>
      </c>
      <c r="C3" s="630"/>
      <c r="D3" s="630"/>
      <c r="E3" s="630"/>
      <c r="F3" s="630"/>
      <c r="G3" s="630"/>
      <c r="H3" s="630"/>
      <c r="I3" s="630"/>
      <c r="J3" s="631"/>
      <c r="K3" s="631"/>
      <c r="L3" s="631"/>
      <c r="M3" s="631"/>
      <c r="N3" s="631"/>
      <c r="O3" s="631"/>
      <c r="P3" s="631"/>
      <c r="Q3" s="631"/>
      <c r="R3" s="631"/>
      <c r="S3" s="631"/>
      <c r="T3" s="631"/>
      <c r="U3" s="631"/>
      <c r="V3" s="631"/>
      <c r="W3" s="631"/>
      <c r="X3" s="631"/>
      <c r="Y3" s="631"/>
      <c r="Z3" s="631"/>
      <c r="AA3" s="631"/>
      <c r="AB3" s="631"/>
      <c r="AC3" s="290"/>
      <c r="AD3" s="169"/>
    </row>
    <row r="4" spans="2:32" ht="15" customHeight="1">
      <c r="B4" s="170" t="s">
        <v>156</v>
      </c>
      <c r="C4" s="171"/>
      <c r="D4" s="632" t="s">
        <v>303</v>
      </c>
      <c r="E4" s="632"/>
      <c r="F4" s="632"/>
      <c r="G4" s="632"/>
      <c r="H4" s="632"/>
      <c r="I4" s="632"/>
      <c r="J4" s="632"/>
      <c r="K4" s="632"/>
      <c r="L4" s="632"/>
      <c r="M4" s="632"/>
      <c r="N4" s="632"/>
      <c r="O4" s="632"/>
      <c r="P4" s="632"/>
      <c r="Q4" s="632"/>
      <c r="R4" s="632"/>
      <c r="S4" s="632"/>
      <c r="T4" s="632"/>
      <c r="U4" s="632"/>
      <c r="V4" s="632"/>
      <c r="W4" s="632"/>
      <c r="X4" s="632"/>
      <c r="Y4" s="632"/>
      <c r="Z4" s="632"/>
      <c r="AA4" s="632"/>
      <c r="AB4" s="632"/>
      <c r="AC4" s="291"/>
      <c r="AD4" s="636" t="s">
        <v>191</v>
      </c>
    </row>
    <row r="5" spans="2:32" ht="15" customHeight="1">
      <c r="B5" s="172" t="s">
        <v>172</v>
      </c>
      <c r="C5" s="173"/>
      <c r="D5" s="633"/>
      <c r="E5" s="633"/>
      <c r="F5" s="633"/>
      <c r="G5" s="634"/>
      <c r="H5" s="634"/>
      <c r="I5" s="634"/>
      <c r="J5" s="634"/>
      <c r="K5" s="634"/>
      <c r="L5" s="634"/>
      <c r="M5" s="634"/>
      <c r="N5" s="634"/>
      <c r="O5" s="634"/>
      <c r="P5" s="634"/>
      <c r="Q5" s="634"/>
      <c r="R5" s="634"/>
      <c r="S5" s="634"/>
      <c r="T5" s="634"/>
      <c r="U5" s="634"/>
      <c r="V5" s="634"/>
      <c r="W5" s="634"/>
      <c r="X5" s="634"/>
      <c r="Y5" s="634"/>
      <c r="Z5" s="634"/>
      <c r="AA5" s="634"/>
      <c r="AB5" s="634"/>
      <c r="AC5" s="292"/>
      <c r="AD5" s="637"/>
    </row>
    <row r="6" spans="2:32" ht="14.25">
      <c r="B6" s="172" t="s">
        <v>173</v>
      </c>
      <c r="C6" s="174"/>
      <c r="D6" s="633"/>
      <c r="E6" s="633"/>
      <c r="F6" s="633"/>
      <c r="G6" s="634"/>
      <c r="H6" s="634"/>
      <c r="I6" s="634"/>
      <c r="J6" s="634"/>
      <c r="K6" s="634"/>
      <c r="L6" s="634"/>
      <c r="M6" s="634"/>
      <c r="N6" s="634"/>
      <c r="O6" s="634"/>
      <c r="P6" s="634"/>
      <c r="Q6" s="634"/>
      <c r="R6" s="634"/>
      <c r="S6" s="634"/>
      <c r="T6" s="634"/>
      <c r="U6" s="634"/>
      <c r="V6" s="634"/>
      <c r="W6" s="634"/>
      <c r="X6" s="634"/>
      <c r="Y6" s="634"/>
      <c r="Z6" s="634"/>
      <c r="AA6" s="634"/>
      <c r="AB6" s="634"/>
      <c r="AC6" s="292"/>
      <c r="AD6" s="637"/>
    </row>
    <row r="7" spans="2:32" ht="15" customHeight="1">
      <c r="B7" s="172" t="s">
        <v>175</v>
      </c>
      <c r="C7" s="173"/>
      <c r="D7" s="645"/>
      <c r="E7" s="645"/>
      <c r="F7" s="645"/>
      <c r="G7" s="634"/>
      <c r="H7" s="634"/>
      <c r="I7" s="634"/>
      <c r="J7" s="634"/>
      <c r="K7" s="634"/>
      <c r="L7" s="634"/>
      <c r="M7" s="634"/>
      <c r="N7" s="634"/>
      <c r="O7" s="634"/>
      <c r="P7" s="634"/>
      <c r="Q7" s="634"/>
      <c r="R7" s="634"/>
      <c r="S7" s="634"/>
      <c r="T7" s="634"/>
      <c r="U7" s="634"/>
      <c r="V7" s="634"/>
      <c r="W7" s="634"/>
      <c r="X7" s="634"/>
      <c r="Y7" s="634"/>
      <c r="Z7" s="634"/>
      <c r="AA7" s="634"/>
      <c r="AB7" s="634"/>
      <c r="AC7" s="293"/>
      <c r="AD7" s="638"/>
    </row>
    <row r="8" spans="2:32" ht="14.25">
      <c r="B8" s="172" t="s">
        <v>174</v>
      </c>
      <c r="C8" s="173"/>
      <c r="D8" s="645"/>
      <c r="E8" s="645"/>
      <c r="F8" s="645"/>
      <c r="G8" s="634"/>
      <c r="H8" s="634"/>
      <c r="I8" s="634"/>
      <c r="J8" s="634"/>
      <c r="K8" s="634"/>
      <c r="L8" s="634"/>
      <c r="M8" s="634"/>
      <c r="N8" s="634"/>
      <c r="O8" s="634"/>
      <c r="P8" s="634"/>
      <c r="Q8" s="634"/>
      <c r="R8" s="634"/>
      <c r="S8" s="634"/>
      <c r="T8" s="634"/>
      <c r="U8" s="634"/>
      <c r="V8" s="634"/>
      <c r="W8" s="634"/>
      <c r="X8" s="634"/>
      <c r="Y8" s="634"/>
      <c r="Z8" s="634"/>
      <c r="AA8" s="634"/>
      <c r="AB8" s="634"/>
      <c r="AC8" s="294"/>
      <c r="AD8" s="635">
        <f>DADOS!E30</f>
        <v>43831</v>
      </c>
    </row>
    <row r="9" spans="2:32" ht="14.25">
      <c r="B9" s="175" t="s">
        <v>320</v>
      </c>
      <c r="C9" s="176"/>
      <c r="D9" s="633"/>
      <c r="E9" s="633"/>
      <c r="F9" s="633"/>
      <c r="G9" s="634"/>
      <c r="H9" s="634"/>
      <c r="I9" s="634"/>
      <c r="J9" s="634"/>
      <c r="K9" s="634"/>
      <c r="L9" s="634"/>
      <c r="M9" s="634"/>
      <c r="N9" s="634"/>
      <c r="O9" s="634"/>
      <c r="P9" s="634"/>
      <c r="Q9" s="634"/>
      <c r="R9" s="634"/>
      <c r="S9" s="634"/>
      <c r="T9" s="634"/>
      <c r="U9" s="634"/>
      <c r="V9" s="634"/>
      <c r="W9" s="634"/>
      <c r="X9" s="634"/>
      <c r="Y9" s="634"/>
      <c r="Z9" s="634"/>
      <c r="AA9" s="634"/>
      <c r="AB9" s="634"/>
      <c r="AC9" s="294"/>
      <c r="AD9" s="635"/>
    </row>
    <row r="10" spans="2:32">
      <c r="B10" s="646" t="s">
        <v>157</v>
      </c>
      <c r="C10" s="647"/>
      <c r="D10" s="648" t="s">
        <v>158</v>
      </c>
      <c r="E10" s="631"/>
      <c r="F10" s="631"/>
      <c r="G10" s="631"/>
      <c r="H10" s="631"/>
      <c r="I10" s="631"/>
      <c r="J10" s="631"/>
      <c r="K10" s="631"/>
      <c r="L10" s="631"/>
      <c r="M10" s="631"/>
      <c r="N10" s="631"/>
      <c r="O10" s="631"/>
      <c r="P10" s="631"/>
      <c r="Q10" s="631"/>
      <c r="R10" s="631"/>
      <c r="S10" s="631"/>
      <c r="T10" s="631"/>
      <c r="U10" s="631"/>
      <c r="V10" s="631"/>
      <c r="W10" s="631"/>
      <c r="X10" s="631"/>
      <c r="Y10" s="631"/>
      <c r="Z10" s="631"/>
      <c r="AA10" s="631"/>
      <c r="AB10" s="631"/>
      <c r="AC10" s="290"/>
      <c r="AD10" s="169"/>
    </row>
    <row r="11" spans="2:32">
      <c r="B11" s="646"/>
      <c r="C11" s="647"/>
      <c r="D11" s="177"/>
      <c r="E11" s="177">
        <v>1</v>
      </c>
      <c r="F11" s="177">
        <v>2</v>
      </c>
      <c r="G11" s="177">
        <v>3</v>
      </c>
      <c r="H11" s="177">
        <v>4</v>
      </c>
      <c r="I11" s="177">
        <v>5</v>
      </c>
      <c r="J11" s="178">
        <v>6</v>
      </c>
      <c r="K11" s="178">
        <v>7</v>
      </c>
      <c r="L11" s="178">
        <v>8</v>
      </c>
      <c r="M11" s="178">
        <v>9</v>
      </c>
      <c r="N11" s="178">
        <v>10</v>
      </c>
      <c r="O11" s="178">
        <v>11</v>
      </c>
      <c r="P11" s="178">
        <v>12</v>
      </c>
      <c r="Q11" s="178">
        <v>13</v>
      </c>
      <c r="R11" s="178">
        <v>14</v>
      </c>
      <c r="S11" s="178">
        <v>15</v>
      </c>
      <c r="T11" s="178">
        <v>16</v>
      </c>
      <c r="U11" s="178">
        <v>17</v>
      </c>
      <c r="V11" s="178">
        <v>18</v>
      </c>
      <c r="W11" s="178">
        <v>19</v>
      </c>
      <c r="X11" s="178">
        <v>20</v>
      </c>
      <c r="Y11" s="178">
        <v>21</v>
      </c>
      <c r="Z11" s="178">
        <v>22</v>
      </c>
      <c r="AA11" s="178">
        <v>23</v>
      </c>
      <c r="AB11" s="178">
        <v>24</v>
      </c>
      <c r="AC11" s="295" t="s">
        <v>209</v>
      </c>
      <c r="AD11" s="179"/>
    </row>
    <row r="12" spans="2:32" ht="12" customHeight="1">
      <c r="B12" s="188">
        <v>1</v>
      </c>
      <c r="C12" s="216" t="s">
        <v>305</v>
      </c>
      <c r="D12" s="183"/>
      <c r="E12" s="643"/>
      <c r="F12" s="644"/>
      <c r="G12" s="644"/>
      <c r="H12" s="644"/>
      <c r="I12" s="644"/>
      <c r="J12" s="644"/>
      <c r="K12" s="644"/>
      <c r="L12" s="644"/>
      <c r="M12" s="644"/>
      <c r="N12" s="644"/>
      <c r="O12" s="644"/>
      <c r="P12" s="644"/>
      <c r="Q12" s="644"/>
      <c r="R12" s="644"/>
      <c r="S12" s="644"/>
      <c r="T12" s="644"/>
      <c r="U12" s="644"/>
      <c r="V12" s="644"/>
      <c r="W12" s="644"/>
      <c r="X12" s="644"/>
      <c r="Y12" s="644"/>
      <c r="Z12" s="644"/>
      <c r="AA12" s="644"/>
      <c r="AB12" s="644"/>
      <c r="AC12" s="287"/>
      <c r="AD12" s="184"/>
    </row>
    <row r="13" spans="2:32" ht="43.5" customHeight="1">
      <c r="B13" s="188"/>
      <c r="C13" s="187" t="s">
        <v>304</v>
      </c>
      <c r="D13" s="181"/>
      <c r="E13" s="311" t="s">
        <v>212</v>
      </c>
      <c r="F13" s="311" t="s">
        <v>212</v>
      </c>
      <c r="G13" s="311" t="s">
        <v>212</v>
      </c>
      <c r="H13" s="311" t="s">
        <v>212</v>
      </c>
      <c r="I13" s="311" t="s">
        <v>212</v>
      </c>
      <c r="J13" s="311" t="s">
        <v>212</v>
      </c>
      <c r="K13" s="311" t="s">
        <v>212</v>
      </c>
      <c r="L13" s="311" t="s">
        <v>212</v>
      </c>
      <c r="M13" s="311" t="s">
        <v>212</v>
      </c>
      <c r="N13" s="311" t="s">
        <v>212</v>
      </c>
      <c r="O13" s="311" t="s">
        <v>212</v>
      </c>
      <c r="P13" s="311" t="s">
        <v>212</v>
      </c>
      <c r="Q13" s="311" t="s">
        <v>212</v>
      </c>
      <c r="R13" s="311" t="s">
        <v>212</v>
      </c>
      <c r="S13" s="311" t="s">
        <v>212</v>
      </c>
      <c r="T13" s="311" t="s">
        <v>212</v>
      </c>
      <c r="U13" s="311" t="s">
        <v>212</v>
      </c>
      <c r="V13" s="311" t="s">
        <v>212</v>
      </c>
      <c r="W13" s="311" t="s">
        <v>212</v>
      </c>
      <c r="X13" s="311" t="s">
        <v>212</v>
      </c>
      <c r="Y13" s="311" t="s">
        <v>212</v>
      </c>
      <c r="Z13" s="311" t="s">
        <v>212</v>
      </c>
      <c r="AA13" s="311" t="s">
        <v>212</v>
      </c>
      <c r="AB13" s="311" t="s">
        <v>212</v>
      </c>
      <c r="AC13" s="321" t="e">
        <f>'CRONOGRAMA FÍSICO FINANCEIRO'!#REF!</f>
        <v>#REF!</v>
      </c>
      <c r="AD13" s="185"/>
      <c r="AE13" s="180">
        <f>SUM(E13:AB13)</f>
        <v>0</v>
      </c>
      <c r="AF13" s="218">
        <f>AD13/25</f>
        <v>0</v>
      </c>
    </row>
    <row r="14" spans="2:32" ht="15.75" customHeight="1">
      <c r="B14" s="188">
        <v>2</v>
      </c>
      <c r="C14" s="216" t="s">
        <v>168</v>
      </c>
      <c r="D14" s="183"/>
      <c r="E14" s="641"/>
      <c r="F14" s="642"/>
      <c r="G14" s="642"/>
      <c r="H14" s="642"/>
      <c r="I14" s="642"/>
      <c r="J14" s="642"/>
      <c r="K14" s="642"/>
      <c r="L14" s="642"/>
      <c r="M14" s="642"/>
      <c r="N14" s="642"/>
      <c r="O14" s="642"/>
      <c r="P14" s="642"/>
      <c r="Q14" s="642"/>
      <c r="R14" s="642"/>
      <c r="S14" s="642"/>
      <c r="T14" s="642"/>
      <c r="U14" s="642"/>
      <c r="V14" s="642"/>
      <c r="W14" s="642"/>
      <c r="X14" s="642"/>
      <c r="Y14" s="642"/>
      <c r="Z14" s="642"/>
      <c r="AA14" s="642"/>
      <c r="AB14" s="642"/>
      <c r="AC14" s="313"/>
      <c r="AD14" s="184"/>
    </row>
    <row r="15" spans="2:32" ht="25.5">
      <c r="B15" s="188" t="s">
        <v>307</v>
      </c>
      <c r="C15" s="310" t="s">
        <v>306</v>
      </c>
      <c r="D15" s="183"/>
      <c r="E15" s="314"/>
      <c r="F15" s="315"/>
      <c r="G15" s="316" t="s">
        <v>212</v>
      </c>
      <c r="H15" s="315"/>
      <c r="I15" s="315"/>
      <c r="J15" s="316" t="s">
        <v>212</v>
      </c>
      <c r="K15" s="315"/>
      <c r="L15" s="315"/>
      <c r="M15" s="316" t="s">
        <v>212</v>
      </c>
      <c r="N15" s="315"/>
      <c r="O15" s="315"/>
      <c r="P15" s="316" t="s">
        <v>212</v>
      </c>
      <c r="Q15" s="315"/>
      <c r="R15" s="315"/>
      <c r="S15" s="315"/>
      <c r="T15" s="315"/>
      <c r="U15" s="315"/>
      <c r="V15" s="399"/>
      <c r="W15" s="399"/>
      <c r="X15" s="399"/>
      <c r="Y15" s="399"/>
      <c r="Z15" s="399"/>
      <c r="AA15" s="399"/>
      <c r="AB15" s="315"/>
      <c r="AC15" s="313" t="e">
        <f>'CRONOGRAMA FÍSICO FINANCEIRO'!#REF!</f>
        <v>#REF!</v>
      </c>
      <c r="AD15" s="184"/>
    </row>
    <row r="16" spans="2:32" ht="25.5">
      <c r="B16" s="188" t="s">
        <v>308</v>
      </c>
      <c r="C16" s="189" t="s">
        <v>309</v>
      </c>
      <c r="D16" s="183"/>
      <c r="E16" s="311" t="s">
        <v>212</v>
      </c>
      <c r="F16" s="314"/>
      <c r="G16" s="311" t="s">
        <v>212</v>
      </c>
      <c r="H16" s="314"/>
      <c r="I16" s="311" t="s">
        <v>212</v>
      </c>
      <c r="J16" s="314"/>
      <c r="K16" s="311" t="s">
        <v>212</v>
      </c>
      <c r="L16" s="314"/>
      <c r="M16" s="311" t="s">
        <v>212</v>
      </c>
      <c r="N16" s="314"/>
      <c r="O16" s="311" t="s">
        <v>212</v>
      </c>
      <c r="P16" s="314"/>
      <c r="Q16" s="314"/>
      <c r="R16" s="314"/>
      <c r="S16" s="314"/>
      <c r="T16" s="314"/>
      <c r="U16" s="314"/>
      <c r="V16" s="398"/>
      <c r="W16" s="398"/>
      <c r="X16" s="398"/>
      <c r="Y16" s="398"/>
      <c r="Z16" s="398"/>
      <c r="AA16" s="398"/>
      <c r="AB16" s="314"/>
      <c r="AC16" s="312" t="e">
        <f>'CRONOGRAMA FÍSICO FINANCEIRO'!#REF!</f>
        <v>#REF!</v>
      </c>
      <c r="AD16" s="219"/>
      <c r="AE16" s="180">
        <f t="shared" ref="AE16:AE26" si="0">SUM(E16:AB16)</f>
        <v>0</v>
      </c>
    </row>
    <row r="17" spans="2:33" ht="25.5">
      <c r="B17" s="188" t="s">
        <v>310</v>
      </c>
      <c r="C17" s="189" t="s">
        <v>311</v>
      </c>
      <c r="D17" s="183"/>
      <c r="E17" s="322" t="s">
        <v>212</v>
      </c>
      <c r="F17" s="323"/>
      <c r="G17" s="323"/>
      <c r="H17" s="322" t="s">
        <v>212</v>
      </c>
      <c r="I17" s="323"/>
      <c r="J17" s="323"/>
      <c r="K17" s="322" t="s">
        <v>212</v>
      </c>
      <c r="L17" s="323"/>
      <c r="M17" s="323"/>
      <c r="N17" s="322" t="s">
        <v>212</v>
      </c>
      <c r="O17" s="323"/>
      <c r="P17" s="323"/>
      <c r="Q17" s="322" t="s">
        <v>212</v>
      </c>
      <c r="R17" s="323"/>
      <c r="S17" s="323"/>
      <c r="T17" s="323"/>
      <c r="U17" s="323"/>
      <c r="V17" s="323"/>
      <c r="W17" s="323"/>
      <c r="X17" s="323"/>
      <c r="Y17" s="323"/>
      <c r="Z17" s="323"/>
      <c r="AA17" s="323"/>
      <c r="AB17" s="322" t="s">
        <v>212</v>
      </c>
      <c r="AC17" s="324" t="e">
        <f>'CRONOGRAMA FÍSICO FINANCEIRO'!#REF!</f>
        <v>#REF!</v>
      </c>
      <c r="AD17" s="219"/>
      <c r="AE17" s="180">
        <f t="shared" si="0"/>
        <v>0</v>
      </c>
    </row>
    <row r="18" spans="2:33" ht="25.5">
      <c r="B18" s="188" t="s">
        <v>217</v>
      </c>
      <c r="C18" s="189" t="s">
        <v>182</v>
      </c>
      <c r="D18" s="183"/>
      <c r="E18" s="314"/>
      <c r="F18" s="314"/>
      <c r="G18" s="311" t="s">
        <v>212</v>
      </c>
      <c r="H18" s="314"/>
      <c r="I18" s="314"/>
      <c r="J18" s="311" t="s">
        <v>212</v>
      </c>
      <c r="K18" s="314"/>
      <c r="L18" s="314"/>
      <c r="M18" s="311" t="s">
        <v>212</v>
      </c>
      <c r="N18" s="314"/>
      <c r="O18" s="314"/>
      <c r="P18" s="311" t="s">
        <v>212</v>
      </c>
      <c r="Q18" s="314"/>
      <c r="R18" s="314"/>
      <c r="S18" s="314"/>
      <c r="T18" s="314"/>
      <c r="U18" s="314"/>
      <c r="V18" s="398"/>
      <c r="W18" s="398"/>
      <c r="X18" s="398"/>
      <c r="Y18" s="398"/>
      <c r="Z18" s="398"/>
      <c r="AA18" s="398"/>
      <c r="AB18" s="314"/>
      <c r="AC18" s="312" t="e">
        <f>'CRONOGRAMA FÍSICO FINANCEIRO'!#REF!</f>
        <v>#REF!</v>
      </c>
      <c r="AD18" s="219"/>
      <c r="AE18" s="180">
        <f t="shared" si="0"/>
        <v>0</v>
      </c>
      <c r="AG18" s="168">
        <f>22/3</f>
        <v>7.333333333333333</v>
      </c>
    </row>
    <row r="19" spans="2:33" ht="51" customHeight="1">
      <c r="B19" s="188" t="s">
        <v>218</v>
      </c>
      <c r="C19" s="189" t="s">
        <v>183</v>
      </c>
      <c r="D19" s="183"/>
      <c r="E19" s="314"/>
      <c r="F19" s="314"/>
      <c r="G19" s="311" t="s">
        <v>212</v>
      </c>
      <c r="H19" s="314"/>
      <c r="I19" s="314"/>
      <c r="J19" s="311" t="s">
        <v>212</v>
      </c>
      <c r="K19" s="314"/>
      <c r="L19" s="314"/>
      <c r="M19" s="311" t="s">
        <v>212</v>
      </c>
      <c r="N19" s="314"/>
      <c r="O19" s="314"/>
      <c r="P19" s="311" t="s">
        <v>212</v>
      </c>
      <c r="Q19" s="314"/>
      <c r="R19" s="314"/>
      <c r="S19" s="311" t="s">
        <v>212</v>
      </c>
      <c r="T19" s="314"/>
      <c r="U19" s="314"/>
      <c r="V19" s="398"/>
      <c r="W19" s="398"/>
      <c r="X19" s="398"/>
      <c r="Y19" s="398"/>
      <c r="Z19" s="398"/>
      <c r="AA19" s="398"/>
      <c r="AB19" s="311" t="s">
        <v>212</v>
      </c>
      <c r="AC19" s="324" t="e">
        <f>'CRONOGRAMA FÍSICO FINANCEIRO'!#REF!</f>
        <v>#REF!</v>
      </c>
      <c r="AD19" s="219"/>
      <c r="AE19" s="180">
        <f t="shared" si="0"/>
        <v>0</v>
      </c>
    </row>
    <row r="20" spans="2:33" ht="51" customHeight="1">
      <c r="B20" s="188" t="s">
        <v>219</v>
      </c>
      <c r="C20" s="189" t="s">
        <v>184</v>
      </c>
      <c r="D20" s="183"/>
      <c r="E20" s="311" t="s">
        <v>212</v>
      </c>
      <c r="F20" s="311" t="s">
        <v>212</v>
      </c>
      <c r="G20" s="311" t="s">
        <v>212</v>
      </c>
      <c r="H20" s="311" t="s">
        <v>212</v>
      </c>
      <c r="I20" s="311" t="s">
        <v>212</v>
      </c>
      <c r="J20" s="311" t="s">
        <v>212</v>
      </c>
      <c r="K20" s="311" t="s">
        <v>212</v>
      </c>
      <c r="L20" s="311" t="s">
        <v>212</v>
      </c>
      <c r="M20" s="311" t="s">
        <v>212</v>
      </c>
      <c r="N20" s="311" t="s">
        <v>212</v>
      </c>
      <c r="O20" s="311" t="s">
        <v>212</v>
      </c>
      <c r="P20" s="311" t="s">
        <v>212</v>
      </c>
      <c r="Q20" s="311" t="s">
        <v>212</v>
      </c>
      <c r="R20" s="311" t="s">
        <v>212</v>
      </c>
      <c r="S20" s="311" t="s">
        <v>212</v>
      </c>
      <c r="T20" s="311" t="s">
        <v>212</v>
      </c>
      <c r="U20" s="311" t="s">
        <v>212</v>
      </c>
      <c r="V20" s="311"/>
      <c r="W20" s="311"/>
      <c r="X20" s="311"/>
      <c r="Y20" s="311"/>
      <c r="Z20" s="311"/>
      <c r="AA20" s="311"/>
      <c r="AB20" s="311" t="s">
        <v>212</v>
      </c>
      <c r="AC20" s="324" t="e">
        <f>'CRONOGRAMA FÍSICO FINANCEIRO'!#REF!</f>
        <v>#REF!</v>
      </c>
      <c r="AD20" s="219"/>
      <c r="AE20" s="180">
        <f t="shared" si="0"/>
        <v>0</v>
      </c>
      <c r="AF20" s="180"/>
    </row>
    <row r="21" spans="2:33" ht="51" customHeight="1">
      <c r="B21" s="188" t="s">
        <v>220</v>
      </c>
      <c r="C21" s="189" t="s">
        <v>185</v>
      </c>
      <c r="D21" s="183"/>
      <c r="E21" s="314"/>
      <c r="F21" s="311" t="s">
        <v>212</v>
      </c>
      <c r="G21" s="314"/>
      <c r="H21" s="314"/>
      <c r="I21" s="314"/>
      <c r="J21" s="314"/>
      <c r="K21" s="311" t="s">
        <v>212</v>
      </c>
      <c r="L21" s="314"/>
      <c r="M21" s="314"/>
      <c r="N21" s="314"/>
      <c r="O21" s="314"/>
      <c r="P21" s="311" t="s">
        <v>212</v>
      </c>
      <c r="Q21" s="314"/>
      <c r="R21" s="314"/>
      <c r="S21" s="314"/>
      <c r="T21" s="314"/>
      <c r="U21" s="314"/>
      <c r="V21" s="398"/>
      <c r="W21" s="398"/>
      <c r="X21" s="398"/>
      <c r="Y21" s="398"/>
      <c r="Z21" s="398"/>
      <c r="AA21" s="398"/>
      <c r="AB21" s="314"/>
      <c r="AC21" s="312" t="e">
        <f>'CRONOGRAMA FÍSICO FINANCEIRO'!#REF!</f>
        <v>#REF!</v>
      </c>
      <c r="AD21" s="219"/>
      <c r="AE21" s="180">
        <f t="shared" si="0"/>
        <v>0</v>
      </c>
    </row>
    <row r="22" spans="2:33" ht="51" customHeight="1">
      <c r="B22" s="188" t="s">
        <v>221</v>
      </c>
      <c r="C22" s="189" t="s">
        <v>186</v>
      </c>
      <c r="D22" s="183"/>
      <c r="E22" s="314"/>
      <c r="F22" s="314"/>
      <c r="G22" s="311" t="s">
        <v>212</v>
      </c>
      <c r="H22" s="314"/>
      <c r="I22" s="314"/>
      <c r="J22" s="311" t="s">
        <v>212</v>
      </c>
      <c r="K22" s="325"/>
      <c r="L22" s="314"/>
      <c r="M22" s="311" t="s">
        <v>212</v>
      </c>
      <c r="N22" s="314"/>
      <c r="O22" s="314"/>
      <c r="P22" s="311" t="s">
        <v>212</v>
      </c>
      <c r="Q22" s="314"/>
      <c r="R22" s="314"/>
      <c r="S22" s="314"/>
      <c r="T22" s="314"/>
      <c r="U22" s="314"/>
      <c r="V22" s="398"/>
      <c r="W22" s="398"/>
      <c r="X22" s="398"/>
      <c r="Y22" s="398"/>
      <c r="Z22" s="398"/>
      <c r="AA22" s="398"/>
      <c r="AB22" s="311" t="s">
        <v>212</v>
      </c>
      <c r="AC22" s="324">
        <f>'CRONOGRAMA FÍSICO FINANCEIRO'!AC9</f>
        <v>0.40729982965027722</v>
      </c>
      <c r="AD22" s="219"/>
      <c r="AE22" s="180">
        <f t="shared" si="0"/>
        <v>0</v>
      </c>
    </row>
    <row r="23" spans="2:33" ht="51" customHeight="1">
      <c r="B23" s="188" t="s">
        <v>222</v>
      </c>
      <c r="C23" s="189" t="s">
        <v>193</v>
      </c>
      <c r="D23" s="183"/>
      <c r="E23" s="314"/>
      <c r="F23" s="314"/>
      <c r="G23" s="311" t="s">
        <v>212</v>
      </c>
      <c r="H23" s="314"/>
      <c r="I23" s="314"/>
      <c r="J23" s="311" t="s">
        <v>212</v>
      </c>
      <c r="K23" s="314"/>
      <c r="L23" s="314"/>
      <c r="M23" s="311" t="s">
        <v>212</v>
      </c>
      <c r="N23" s="314"/>
      <c r="O23" s="314"/>
      <c r="P23" s="311" t="s">
        <v>212</v>
      </c>
      <c r="Q23" s="314"/>
      <c r="R23" s="314"/>
      <c r="S23" s="314"/>
      <c r="T23" s="314"/>
      <c r="U23" s="314"/>
      <c r="V23" s="398"/>
      <c r="W23" s="398"/>
      <c r="X23" s="398"/>
      <c r="Y23" s="398"/>
      <c r="Z23" s="398"/>
      <c r="AA23" s="398"/>
      <c r="AB23" s="314"/>
      <c r="AC23" s="312">
        <f>'CRONOGRAMA FÍSICO FINANCEIRO'!AC10</f>
        <v>0.10210685699301708</v>
      </c>
      <c r="AD23" s="219"/>
      <c r="AE23" s="180">
        <f t="shared" si="0"/>
        <v>0</v>
      </c>
    </row>
    <row r="24" spans="2:33" ht="51" customHeight="1">
      <c r="B24" s="188" t="s">
        <v>223</v>
      </c>
      <c r="C24" s="189" t="s">
        <v>204</v>
      </c>
      <c r="D24" s="183"/>
      <c r="E24" s="314"/>
      <c r="F24" s="314"/>
      <c r="G24" s="311" t="s">
        <v>212</v>
      </c>
      <c r="H24" s="314"/>
      <c r="I24" s="314"/>
      <c r="J24" s="311" t="s">
        <v>212</v>
      </c>
      <c r="K24" s="314"/>
      <c r="L24" s="314"/>
      <c r="M24" s="311" t="s">
        <v>212</v>
      </c>
      <c r="N24" s="314"/>
      <c r="O24" s="314"/>
      <c r="P24" s="311" t="s">
        <v>212</v>
      </c>
      <c r="Q24" s="314"/>
      <c r="R24" s="314"/>
      <c r="S24" s="314"/>
      <c r="T24" s="314"/>
      <c r="U24" s="314"/>
      <c r="V24" s="398"/>
      <c r="W24" s="398"/>
      <c r="X24" s="398"/>
      <c r="Y24" s="398"/>
      <c r="Z24" s="398"/>
      <c r="AA24" s="398"/>
      <c r="AB24" s="314"/>
      <c r="AC24" s="312">
        <f>'CRONOGRAMA FÍSICO FINANCEIRO'!AC11</f>
        <v>2.8360315602368354E-2</v>
      </c>
      <c r="AD24" s="219"/>
      <c r="AE24" s="180">
        <f t="shared" si="0"/>
        <v>0</v>
      </c>
    </row>
    <row r="25" spans="2:33" ht="51" customHeight="1">
      <c r="B25" s="188" t="s">
        <v>224</v>
      </c>
      <c r="C25" s="189" t="s">
        <v>205</v>
      </c>
      <c r="D25" s="183"/>
      <c r="E25" s="314"/>
      <c r="F25" s="314"/>
      <c r="G25" s="311" t="s">
        <v>212</v>
      </c>
      <c r="H25" s="314"/>
      <c r="I25" s="314"/>
      <c r="J25" s="311" t="s">
        <v>212</v>
      </c>
      <c r="K25" s="314"/>
      <c r="L25" s="314"/>
      <c r="M25" s="311" t="s">
        <v>212</v>
      </c>
      <c r="N25" s="314"/>
      <c r="O25" s="314"/>
      <c r="P25" s="311" t="s">
        <v>212</v>
      </c>
      <c r="Q25" s="314"/>
      <c r="R25" s="314"/>
      <c r="S25" s="314"/>
      <c r="T25" s="314"/>
      <c r="U25" s="314"/>
      <c r="V25" s="398"/>
      <c r="W25" s="398"/>
      <c r="X25" s="398"/>
      <c r="Y25" s="398"/>
      <c r="Z25" s="398"/>
      <c r="AA25" s="398"/>
      <c r="AB25" s="314"/>
      <c r="AC25" s="312">
        <f>'CRONOGRAMA FÍSICO FINANCEIRO'!AC12</f>
        <v>0.19558990262639142</v>
      </c>
      <c r="AD25" s="219"/>
      <c r="AE25" s="180">
        <f t="shared" si="0"/>
        <v>0</v>
      </c>
    </row>
    <row r="26" spans="2:33" ht="51" customHeight="1">
      <c r="B26" s="188" t="s">
        <v>225</v>
      </c>
      <c r="C26" s="189" t="s">
        <v>203</v>
      </c>
      <c r="D26" s="183"/>
      <c r="E26" s="314"/>
      <c r="F26" s="314"/>
      <c r="G26" s="314"/>
      <c r="H26" s="314"/>
      <c r="I26" s="314"/>
      <c r="J26" s="311" t="s">
        <v>212</v>
      </c>
      <c r="K26" s="314"/>
      <c r="L26" s="314"/>
      <c r="M26" s="311" t="s">
        <v>212</v>
      </c>
      <c r="N26" s="314"/>
      <c r="O26" s="314"/>
      <c r="P26" s="311" t="s">
        <v>212</v>
      </c>
      <c r="Q26" s="314"/>
      <c r="R26" s="314"/>
      <c r="S26" s="314"/>
      <c r="T26" s="314"/>
      <c r="U26" s="314"/>
      <c r="V26" s="398"/>
      <c r="W26" s="398"/>
      <c r="X26" s="398"/>
      <c r="Y26" s="398"/>
      <c r="Z26" s="398"/>
      <c r="AA26" s="398"/>
      <c r="AB26" s="314"/>
      <c r="AC26" s="312">
        <f>'CRONOGRAMA FÍSICO FINANCEIRO'!AC13</f>
        <v>4.5005939450858984E-2</v>
      </c>
      <c r="AD26" s="219"/>
      <c r="AE26" s="180">
        <f t="shared" si="0"/>
        <v>0</v>
      </c>
    </row>
    <row r="27" spans="2:33" ht="51" customHeight="1">
      <c r="B27" s="188" t="s">
        <v>226</v>
      </c>
      <c r="C27" s="189" t="s">
        <v>227</v>
      </c>
      <c r="D27" s="183"/>
      <c r="E27" s="330"/>
      <c r="F27" s="330"/>
      <c r="G27" s="330"/>
      <c r="H27" s="330"/>
      <c r="I27" s="330"/>
      <c r="J27" s="330"/>
      <c r="K27" s="330"/>
      <c r="L27" s="330"/>
      <c r="M27" s="330"/>
      <c r="N27" s="330"/>
      <c r="O27" s="330"/>
      <c r="P27" s="330"/>
      <c r="Q27" s="311" t="s">
        <v>212</v>
      </c>
      <c r="R27" s="311" t="s">
        <v>212</v>
      </c>
      <c r="S27" s="311" t="s">
        <v>212</v>
      </c>
      <c r="T27" s="311" t="s">
        <v>212</v>
      </c>
      <c r="U27" s="311" t="s">
        <v>212</v>
      </c>
      <c r="V27" s="311"/>
      <c r="W27" s="311"/>
      <c r="X27" s="311"/>
      <c r="Y27" s="311"/>
      <c r="Z27" s="311"/>
      <c r="AA27" s="311"/>
      <c r="AB27" s="311" t="s">
        <v>212</v>
      </c>
      <c r="AC27" s="312">
        <f>'CRONOGRAMA FÍSICO FINANCEIRO'!AC14</f>
        <v>0.17705334551120519</v>
      </c>
      <c r="AD27" s="219"/>
      <c r="AE27" s="180"/>
    </row>
    <row r="28" spans="2:33" ht="12" customHeight="1">
      <c r="B28" s="188">
        <v>5</v>
      </c>
      <c r="C28" s="216" t="s">
        <v>188</v>
      </c>
      <c r="D28" s="183"/>
      <c r="E28" s="643"/>
      <c r="F28" s="644"/>
      <c r="G28" s="644"/>
      <c r="H28" s="644"/>
      <c r="I28" s="644"/>
      <c r="J28" s="644"/>
      <c r="K28" s="644"/>
      <c r="L28" s="644"/>
      <c r="M28" s="644"/>
      <c r="N28" s="644"/>
      <c r="O28" s="644"/>
      <c r="P28" s="644"/>
      <c r="Q28" s="644"/>
      <c r="R28" s="644"/>
      <c r="S28" s="644"/>
      <c r="T28" s="644"/>
      <c r="U28" s="644"/>
      <c r="V28" s="644"/>
      <c r="W28" s="644"/>
      <c r="X28" s="644"/>
      <c r="Y28" s="644"/>
      <c r="Z28" s="644"/>
      <c r="AA28" s="644"/>
      <c r="AB28" s="644"/>
      <c r="AC28" s="287"/>
      <c r="AD28" s="184"/>
    </row>
    <row r="29" spans="2:33" ht="51" customHeight="1">
      <c r="B29" s="188" t="s">
        <v>187</v>
      </c>
      <c r="C29" s="189" t="s">
        <v>206</v>
      </c>
      <c r="D29" s="183"/>
      <c r="E29" s="314"/>
      <c r="F29" s="314"/>
      <c r="G29" s="311" t="s">
        <v>212</v>
      </c>
      <c r="H29" s="314"/>
      <c r="I29" s="314"/>
      <c r="J29" s="314"/>
      <c r="K29" s="314"/>
      <c r="L29" s="314"/>
      <c r="M29" s="314"/>
      <c r="N29" s="314"/>
      <c r="O29" s="314"/>
      <c r="P29" s="314"/>
      <c r="Q29" s="314"/>
      <c r="R29" s="314"/>
      <c r="S29" s="314"/>
      <c r="T29" s="314"/>
      <c r="U29" s="314"/>
      <c r="V29" s="398"/>
      <c r="W29" s="398"/>
      <c r="X29" s="398"/>
      <c r="Y29" s="398"/>
      <c r="Z29" s="398"/>
      <c r="AA29" s="398"/>
      <c r="AB29" s="314"/>
      <c r="AC29" s="312">
        <f>'CRONOGRAMA FÍSICO FINANCEIRO'!AC15</f>
        <v>4.4583810165881525E-2</v>
      </c>
      <c r="AD29" s="219"/>
      <c r="AE29" s="220">
        <f>SUM(E29:AB29)</f>
        <v>0</v>
      </c>
      <c r="AF29" s="186"/>
    </row>
    <row r="30" spans="2:33" ht="12" customHeight="1">
      <c r="B30" s="188">
        <v>6</v>
      </c>
      <c r="C30" s="216" t="s">
        <v>189</v>
      </c>
      <c r="D30" s="183"/>
      <c r="E30" s="641"/>
      <c r="F30" s="642"/>
      <c r="G30" s="642"/>
      <c r="H30" s="642"/>
      <c r="I30" s="642"/>
      <c r="J30" s="642"/>
      <c r="K30" s="642"/>
      <c r="L30" s="642"/>
      <c r="M30" s="642"/>
      <c r="N30" s="642"/>
      <c r="O30" s="642"/>
      <c r="P30" s="642"/>
      <c r="Q30" s="642"/>
      <c r="R30" s="642"/>
      <c r="S30" s="642"/>
      <c r="T30" s="642"/>
      <c r="U30" s="642"/>
      <c r="V30" s="642"/>
      <c r="W30" s="642"/>
      <c r="X30" s="642"/>
      <c r="Y30" s="642"/>
      <c r="Z30" s="642"/>
      <c r="AA30" s="642"/>
      <c r="AB30" s="642"/>
      <c r="AC30" s="313"/>
      <c r="AD30" s="184"/>
    </row>
    <row r="31" spans="2:33" ht="51" customHeight="1">
      <c r="B31" s="188" t="s">
        <v>190</v>
      </c>
      <c r="C31" s="189" t="s">
        <v>215</v>
      </c>
      <c r="D31" s="183"/>
      <c r="E31" s="314"/>
      <c r="F31" s="311" t="s">
        <v>212</v>
      </c>
      <c r="G31" s="314"/>
      <c r="H31" s="314"/>
      <c r="I31" s="314"/>
      <c r="J31" s="314"/>
      <c r="K31" s="314"/>
      <c r="L31" s="314"/>
      <c r="M31" s="314"/>
      <c r="N31" s="314"/>
      <c r="O31" s="314"/>
      <c r="P31" s="314"/>
      <c r="Q31" s="314"/>
      <c r="R31" s="314"/>
      <c r="S31" s="314"/>
      <c r="T31" s="314"/>
      <c r="U31" s="314"/>
      <c r="V31" s="398"/>
      <c r="W31" s="398"/>
      <c r="X31" s="398"/>
      <c r="Y31" s="398"/>
      <c r="Z31" s="398"/>
      <c r="AA31" s="398"/>
      <c r="AB31" s="314"/>
      <c r="AC31" s="312" t="e">
        <f>'CRONOGRAMA FÍSICO FINANCEIRO'!#REF!</f>
        <v>#REF!</v>
      </c>
      <c r="AD31" s="219"/>
      <c r="AE31" s="220"/>
      <c r="AF31" s="186"/>
    </row>
    <row r="32" spans="2:33" ht="15.75" customHeight="1">
      <c r="B32" s="188">
        <v>7</v>
      </c>
      <c r="C32" s="216" t="s">
        <v>213</v>
      </c>
      <c r="D32" s="183"/>
      <c r="E32" s="641"/>
      <c r="F32" s="642"/>
      <c r="G32" s="642"/>
      <c r="H32" s="642"/>
      <c r="I32" s="642"/>
      <c r="J32" s="642"/>
      <c r="K32" s="642"/>
      <c r="L32" s="642"/>
      <c r="M32" s="642"/>
      <c r="N32" s="642"/>
      <c r="O32" s="642"/>
      <c r="P32" s="642"/>
      <c r="Q32" s="642"/>
      <c r="R32" s="642"/>
      <c r="S32" s="642"/>
      <c r="T32" s="642"/>
      <c r="U32" s="642"/>
      <c r="V32" s="642"/>
      <c r="W32" s="642"/>
      <c r="X32" s="642"/>
      <c r="Y32" s="642"/>
      <c r="Z32" s="642"/>
      <c r="AA32" s="642"/>
      <c r="AB32" s="642"/>
      <c r="AC32" s="313"/>
      <c r="AD32" s="184"/>
      <c r="AE32" s="220"/>
      <c r="AF32" s="186"/>
    </row>
    <row r="33" spans="2:34" ht="51" customHeight="1">
      <c r="B33" s="188" t="s">
        <v>192</v>
      </c>
      <c r="C33" s="189" t="s">
        <v>214</v>
      </c>
      <c r="D33" s="183"/>
      <c r="E33" s="311" t="s">
        <v>212</v>
      </c>
      <c r="F33" s="326"/>
      <c r="G33" s="326"/>
      <c r="H33" s="314"/>
      <c r="I33" s="314"/>
      <c r="J33" s="314"/>
      <c r="K33" s="314"/>
      <c r="L33" s="314"/>
      <c r="M33" s="314"/>
      <c r="N33" s="314"/>
      <c r="O33" s="314"/>
      <c r="P33" s="314"/>
      <c r="Q33" s="314"/>
      <c r="R33" s="314"/>
      <c r="S33" s="314"/>
      <c r="T33" s="314"/>
      <c r="U33" s="314"/>
      <c r="V33" s="398"/>
      <c r="W33" s="398"/>
      <c r="X33" s="398"/>
      <c r="Y33" s="398"/>
      <c r="Z33" s="398"/>
      <c r="AA33" s="398"/>
      <c r="AB33" s="314"/>
      <c r="AC33" s="312" t="e">
        <f>'CRONOGRAMA FÍSICO FINANCEIRO'!#REF!</f>
        <v>#REF!</v>
      </c>
      <c r="AD33" s="219"/>
      <c r="AE33" s="220">
        <f>SUM(E33:AB33)</f>
        <v>0</v>
      </c>
      <c r="AF33" s="331" t="e">
        <f>SUM(AC13:AC33)</f>
        <v>#REF!</v>
      </c>
      <c r="AH33" s="289"/>
    </row>
    <row r="34" spans="2:34" ht="15.75" customHeight="1">
      <c r="B34" s="649"/>
      <c r="C34" s="634"/>
      <c r="D34" s="634"/>
      <c r="E34" s="634"/>
      <c r="F34" s="634"/>
      <c r="G34" s="634"/>
      <c r="H34" s="634"/>
      <c r="I34" s="634"/>
      <c r="J34" s="634"/>
      <c r="K34" s="634"/>
      <c r="L34" s="634"/>
      <c r="M34" s="634"/>
      <c r="N34" s="634"/>
      <c r="O34" s="634"/>
      <c r="P34" s="634"/>
      <c r="Q34" s="634"/>
      <c r="R34" s="634"/>
      <c r="S34" s="634"/>
      <c r="T34" s="634"/>
      <c r="U34" s="634"/>
      <c r="V34" s="634"/>
      <c r="W34" s="634"/>
      <c r="X34" s="634"/>
      <c r="Y34" s="634"/>
      <c r="Z34" s="634"/>
      <c r="AA34" s="634"/>
      <c r="AB34" s="634"/>
      <c r="AC34" s="650"/>
      <c r="AD34" s="651"/>
    </row>
    <row r="35" spans="2:34" ht="39" customHeight="1">
      <c r="B35" s="296"/>
      <c r="C35" s="299" t="s">
        <v>211</v>
      </c>
      <c r="D35" s="297"/>
      <c r="E35" s="327">
        <f>'CRONOGRAMA FÍSICO FINANCEIRO'!E17</f>
        <v>0</v>
      </c>
      <c r="F35" s="327">
        <f>'CRONOGRAMA FÍSICO FINANCEIRO'!F17</f>
        <v>2.8360315602368354E-2</v>
      </c>
      <c r="G35" s="327">
        <f>'CRONOGRAMA FÍSICO FINANCEIRO'!G17</f>
        <v>0.24851562457146792</v>
      </c>
      <c r="H35" s="327">
        <f>'CRONOGRAMA FÍSICO FINANCEIRO'!H17</f>
        <v>0.19558990262639142</v>
      </c>
      <c r="I35" s="327">
        <f>'CRONOGRAMA FÍSICO FINANCEIRO'!I17</f>
        <v>4.5005939450858984E-2</v>
      </c>
      <c r="J35" s="327">
        <f>'CRONOGRAMA FÍSICO FINANCEIRO'!J17</f>
        <v>0.10182495741256931</v>
      </c>
      <c r="K35" s="327">
        <f>'CRONOGRAMA FÍSICO FINANCEIRO'!K17</f>
        <v>0</v>
      </c>
      <c r="L35" s="327">
        <f>'CRONOGRAMA FÍSICO FINANCEIRO'!L17</f>
        <v>0</v>
      </c>
      <c r="M35" s="327">
        <f>'CRONOGRAMA FÍSICO FINANCEIRO'!M17</f>
        <v>0.10182495741256931</v>
      </c>
      <c r="N35" s="327">
        <f>'CRONOGRAMA FÍSICO FINANCEIRO'!N17</f>
        <v>0</v>
      </c>
      <c r="O35" s="327">
        <f>'CRONOGRAMA FÍSICO FINANCEIRO'!O17</f>
        <v>0</v>
      </c>
      <c r="P35" s="327">
        <f>'CRONOGRAMA FÍSICO FINANCEIRO'!P17</f>
        <v>0.10182495741256931</v>
      </c>
      <c r="Q35" s="327">
        <f>'CRONOGRAMA FÍSICO FINANCEIRO'!Q17</f>
        <v>0</v>
      </c>
      <c r="R35" s="327">
        <f>'CRONOGRAMA FÍSICO FINANCEIRO'!R17</f>
        <v>0</v>
      </c>
      <c r="S35" s="327">
        <f>'CRONOGRAMA FÍSICO FINANCEIRO'!S17</f>
        <v>0</v>
      </c>
      <c r="T35" s="327">
        <f>'CRONOGRAMA FÍSICO FINANCEIRO'!T17</f>
        <v>0</v>
      </c>
      <c r="U35" s="327">
        <f>'CRONOGRAMA FÍSICO FINANCEIRO'!U17</f>
        <v>0</v>
      </c>
      <c r="V35" s="327"/>
      <c r="W35" s="327"/>
      <c r="X35" s="327"/>
      <c r="Y35" s="327"/>
      <c r="Z35" s="327"/>
      <c r="AA35" s="327"/>
      <c r="AB35" s="327">
        <f>'CRONOGRAMA FÍSICO FINANCEIRO'!V17</f>
        <v>0</v>
      </c>
      <c r="AC35" s="328">
        <f>SUM(E35:AB35)</f>
        <v>0.82294665448879467</v>
      </c>
      <c r="AD35" s="300"/>
    </row>
    <row r="36" spans="2:34" ht="38.25" customHeight="1">
      <c r="B36" s="296"/>
      <c r="C36" s="299" t="s">
        <v>210</v>
      </c>
      <c r="D36" s="297"/>
      <c r="E36" s="327">
        <f>'CRONOGRAMA FÍSICO FINANCEIRO'!E18</f>
        <v>0</v>
      </c>
      <c r="F36" s="327">
        <f t="shared" ref="F36:U36" si="1">E36+F35</f>
        <v>2.8360315602368354E-2</v>
      </c>
      <c r="G36" s="327">
        <f t="shared" si="1"/>
        <v>0.27687594017383627</v>
      </c>
      <c r="H36" s="327">
        <f t="shared" si="1"/>
        <v>0.47246584280022769</v>
      </c>
      <c r="I36" s="327">
        <f t="shared" si="1"/>
        <v>0.5174717822510867</v>
      </c>
      <c r="J36" s="327">
        <f t="shared" si="1"/>
        <v>0.61929673966365595</v>
      </c>
      <c r="K36" s="327">
        <f t="shared" si="1"/>
        <v>0.61929673966365595</v>
      </c>
      <c r="L36" s="327">
        <f t="shared" si="1"/>
        <v>0.61929673966365595</v>
      </c>
      <c r="M36" s="327">
        <f t="shared" si="1"/>
        <v>0.72112169707622531</v>
      </c>
      <c r="N36" s="327">
        <f t="shared" si="1"/>
        <v>0.72112169707622531</v>
      </c>
      <c r="O36" s="327">
        <f t="shared" si="1"/>
        <v>0.72112169707622531</v>
      </c>
      <c r="P36" s="327">
        <f t="shared" si="1"/>
        <v>0.82294665448879467</v>
      </c>
      <c r="Q36" s="327">
        <f t="shared" si="1"/>
        <v>0.82294665448879467</v>
      </c>
      <c r="R36" s="327">
        <f t="shared" si="1"/>
        <v>0.82294665448879467</v>
      </c>
      <c r="S36" s="327">
        <f t="shared" si="1"/>
        <v>0.82294665448879467</v>
      </c>
      <c r="T36" s="327">
        <f t="shared" si="1"/>
        <v>0.82294665448879467</v>
      </c>
      <c r="U36" s="327">
        <f t="shared" si="1"/>
        <v>0.82294665448879467</v>
      </c>
      <c r="V36" s="327"/>
      <c r="W36" s="327"/>
      <c r="X36" s="327"/>
      <c r="Y36" s="327"/>
      <c r="Z36" s="327"/>
      <c r="AA36" s="327"/>
      <c r="AB36" s="327">
        <f>U36+AB35</f>
        <v>0.82294665448879467</v>
      </c>
      <c r="AC36" s="328"/>
      <c r="AD36" s="298"/>
    </row>
    <row r="37" spans="2:34" ht="63" customHeight="1" thickBot="1">
      <c r="B37" s="639" t="s">
        <v>171</v>
      </c>
      <c r="C37" s="640"/>
      <c r="D37" s="182"/>
      <c r="E37" s="320"/>
      <c r="F37" s="320"/>
      <c r="G37" s="320"/>
      <c r="H37" s="320"/>
      <c r="I37" s="320"/>
      <c r="J37" s="320"/>
      <c r="K37" s="320"/>
      <c r="L37" s="320"/>
      <c r="M37" s="320"/>
      <c r="N37" s="320"/>
      <c r="O37" s="320"/>
      <c r="P37" s="320"/>
      <c r="Q37" s="320"/>
      <c r="R37" s="320"/>
      <c r="S37" s="320"/>
      <c r="T37" s="320"/>
      <c r="U37" s="320"/>
      <c r="V37" s="320"/>
      <c r="W37" s="320"/>
      <c r="X37" s="320"/>
      <c r="Y37" s="320"/>
      <c r="Z37" s="320"/>
      <c r="AA37" s="320"/>
      <c r="AB37" s="320"/>
      <c r="AC37" s="329"/>
      <c r="AD37" s="217"/>
      <c r="AE37" s="180"/>
      <c r="AF37" s="180"/>
    </row>
    <row r="40" spans="2:34">
      <c r="D40" s="180"/>
      <c r="AD40" s="180"/>
      <c r="AE40" s="180"/>
    </row>
  </sheetData>
  <mergeCells count="19">
    <mergeCell ref="AD8:AD9"/>
    <mergeCell ref="D9:AB9"/>
    <mergeCell ref="AD4:AD7"/>
    <mergeCell ref="B37:C37"/>
    <mergeCell ref="E14:AB14"/>
    <mergeCell ref="E28:AB28"/>
    <mergeCell ref="D7:AB7"/>
    <mergeCell ref="D8:AB8"/>
    <mergeCell ref="B10:C11"/>
    <mergeCell ref="D10:AB10"/>
    <mergeCell ref="E12:AB12"/>
    <mergeCell ref="E30:AB30"/>
    <mergeCell ref="B34:AD34"/>
    <mergeCell ref="E32:AB32"/>
    <mergeCell ref="B2:AD2"/>
    <mergeCell ref="B3:AB3"/>
    <mergeCell ref="D4:AB4"/>
    <mergeCell ref="D5:AB5"/>
    <mergeCell ref="D6:AB6"/>
  </mergeCells>
  <pageMargins left="0.51181102362204722" right="0.51181102362204722" top="0.78740157480314965" bottom="0.78740157480314965" header="0.31496062992125984" footer="0.31496062992125984"/>
  <pageSetup paperSize="9" scale="5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3"/>
  <sheetViews>
    <sheetView zoomScale="90" zoomScaleNormal="90" workbookViewId="0">
      <selection activeCell="C14" sqref="C14"/>
    </sheetView>
  </sheetViews>
  <sheetFormatPr defaultRowHeight="12.75"/>
  <cols>
    <col min="1" max="1" width="13.7109375" customWidth="1"/>
    <col min="2" max="2" width="44.5703125" bestFit="1" customWidth="1"/>
    <col min="3" max="3" width="5" bestFit="1" customWidth="1"/>
    <col min="4" max="4" width="10.28515625" customWidth="1"/>
    <col min="5" max="5" width="18" customWidth="1"/>
    <col min="6" max="6" width="19.85546875" customWidth="1"/>
    <col min="7" max="7" width="12.42578125" bestFit="1" customWidth="1"/>
    <col min="8" max="8" width="7.5703125" customWidth="1"/>
    <col min="9" max="9" width="7" customWidth="1"/>
    <col min="10" max="10" width="8.5703125" customWidth="1"/>
    <col min="11" max="11" width="8.85546875" customWidth="1"/>
    <col min="12" max="12" width="8.7109375" customWidth="1"/>
    <col min="13" max="13" width="9.42578125" customWidth="1"/>
    <col min="14" max="14" width="9.7109375" customWidth="1"/>
    <col min="15" max="15" width="10.5703125" customWidth="1"/>
    <col min="16" max="16" width="8.5703125" customWidth="1"/>
    <col min="23" max="23" width="8.28515625" customWidth="1"/>
    <col min="24" max="24" width="9.5703125" customWidth="1"/>
    <col min="25" max="25" width="11.140625" bestFit="1" customWidth="1"/>
    <col min="28" max="28" width="11.28515625" bestFit="1" customWidth="1"/>
    <col min="29" max="29" width="28.42578125" bestFit="1" customWidth="1"/>
    <col min="30" max="30" width="44" bestFit="1" customWidth="1"/>
    <col min="31" max="31" width="39.7109375" customWidth="1"/>
    <col min="32" max="32" width="28" customWidth="1"/>
    <col min="33" max="33" width="14.7109375" customWidth="1"/>
  </cols>
  <sheetData>
    <row r="1" spans="1:33" ht="13.5" thickBot="1">
      <c r="A1" s="652" t="s">
        <v>332</v>
      </c>
      <c r="B1" s="654" t="s">
        <v>333</v>
      </c>
      <c r="C1" s="654" t="s">
        <v>334</v>
      </c>
      <c r="D1" s="652" t="s">
        <v>335</v>
      </c>
      <c r="E1" s="652" t="s">
        <v>336</v>
      </c>
      <c r="F1" s="652" t="s">
        <v>413</v>
      </c>
      <c r="G1" s="654" t="s">
        <v>337</v>
      </c>
      <c r="H1" s="654"/>
      <c r="I1" s="654"/>
      <c r="J1" s="654"/>
      <c r="K1" s="654"/>
      <c r="L1" s="654"/>
      <c r="M1" s="654"/>
      <c r="N1" s="654"/>
      <c r="O1" s="654"/>
      <c r="P1" s="654"/>
      <c r="Q1" s="654" t="s">
        <v>348</v>
      </c>
      <c r="R1" s="654"/>
      <c r="S1" s="654"/>
      <c r="T1" s="654"/>
      <c r="U1" s="654"/>
      <c r="V1" s="654"/>
      <c r="W1" s="654" t="s">
        <v>346</v>
      </c>
      <c r="X1" s="654"/>
      <c r="Y1" s="654" t="s">
        <v>347</v>
      </c>
    </row>
    <row r="2" spans="1:33" ht="24" customHeight="1" thickBot="1">
      <c r="A2" s="652"/>
      <c r="B2" s="654"/>
      <c r="C2" s="654"/>
      <c r="D2" s="652"/>
      <c r="E2" s="652"/>
      <c r="F2" s="652"/>
      <c r="G2" s="654" t="s">
        <v>338</v>
      </c>
      <c r="H2" s="654"/>
      <c r="I2" s="654" t="s">
        <v>339</v>
      </c>
      <c r="J2" s="654"/>
      <c r="K2" s="654" t="s">
        <v>340</v>
      </c>
      <c r="L2" s="654"/>
      <c r="M2" s="654" t="s">
        <v>341</v>
      </c>
      <c r="N2" s="654"/>
      <c r="O2" s="654" t="s">
        <v>342</v>
      </c>
      <c r="P2" s="654"/>
      <c r="Q2" s="654" t="s">
        <v>343</v>
      </c>
      <c r="R2" s="654"/>
      <c r="S2" s="654" t="s">
        <v>344</v>
      </c>
      <c r="T2" s="654"/>
      <c r="U2" s="654" t="s">
        <v>345</v>
      </c>
      <c r="V2" s="654"/>
      <c r="W2" s="654"/>
      <c r="X2" s="654"/>
      <c r="Y2" s="654"/>
    </row>
    <row r="3" spans="1:33" ht="18.75" customHeight="1">
      <c r="A3" s="653"/>
      <c r="B3" s="655"/>
      <c r="C3" s="655"/>
      <c r="D3" s="653"/>
      <c r="E3" s="653"/>
      <c r="F3" s="653"/>
      <c r="G3" s="430" t="s">
        <v>209</v>
      </c>
      <c r="H3" s="430" t="s">
        <v>15</v>
      </c>
      <c r="I3" s="430" t="s">
        <v>209</v>
      </c>
      <c r="J3" s="430" t="s">
        <v>15</v>
      </c>
      <c r="K3" s="430" t="s">
        <v>209</v>
      </c>
      <c r="L3" s="430" t="s">
        <v>15</v>
      </c>
      <c r="M3" s="430" t="s">
        <v>209</v>
      </c>
      <c r="N3" s="430" t="s">
        <v>15</v>
      </c>
      <c r="O3" s="430" t="s">
        <v>209</v>
      </c>
      <c r="P3" s="430" t="s">
        <v>15</v>
      </c>
      <c r="Q3" s="430" t="s">
        <v>209</v>
      </c>
      <c r="R3" s="430" t="s">
        <v>15</v>
      </c>
      <c r="S3" s="430" t="s">
        <v>209</v>
      </c>
      <c r="T3" s="430" t="s">
        <v>15</v>
      </c>
      <c r="U3" s="430" t="s">
        <v>209</v>
      </c>
      <c r="V3" s="430" t="s">
        <v>15</v>
      </c>
      <c r="W3" s="425" t="s">
        <v>209</v>
      </c>
      <c r="X3" s="425" t="s">
        <v>15</v>
      </c>
      <c r="Y3" s="425" t="s">
        <v>15</v>
      </c>
    </row>
    <row r="4" spans="1:33">
      <c r="A4" s="429" t="s">
        <v>415</v>
      </c>
      <c r="B4" s="428" t="s">
        <v>444</v>
      </c>
      <c r="C4" s="428" t="s">
        <v>35</v>
      </c>
      <c r="D4" s="431">
        <v>4438.04</v>
      </c>
      <c r="E4" s="428">
        <v>80.56</v>
      </c>
      <c r="F4" s="431">
        <v>3575.28</v>
      </c>
      <c r="G4" s="428">
        <v>12.11</v>
      </c>
      <c r="H4" s="428">
        <v>537.62</v>
      </c>
      <c r="I4" s="428">
        <v>0.39</v>
      </c>
      <c r="J4" s="428">
        <v>17.09</v>
      </c>
      <c r="K4" s="428" t="s">
        <v>414</v>
      </c>
      <c r="L4" s="428" t="s">
        <v>414</v>
      </c>
      <c r="M4" s="428" t="s">
        <v>414</v>
      </c>
      <c r="N4" s="428" t="s">
        <v>414</v>
      </c>
      <c r="O4" s="428">
        <v>7.0000000000000007E-2</v>
      </c>
      <c r="P4" s="428">
        <v>3.14</v>
      </c>
      <c r="Q4" s="428" t="s">
        <v>414</v>
      </c>
      <c r="R4" s="428" t="s">
        <v>414</v>
      </c>
      <c r="S4" s="428">
        <v>4.4000000000000004</v>
      </c>
      <c r="T4" s="428">
        <v>195.17</v>
      </c>
      <c r="U4" s="428">
        <v>0.13</v>
      </c>
      <c r="V4" s="428">
        <v>5.8</v>
      </c>
      <c r="W4" s="428">
        <v>97.66</v>
      </c>
      <c r="X4" s="431">
        <v>4334.1099999999997</v>
      </c>
      <c r="Y4" s="431">
        <v>8772.14</v>
      </c>
    </row>
    <row r="5" spans="1:33">
      <c r="A5" s="429" t="s">
        <v>416</v>
      </c>
      <c r="B5" s="428" t="s">
        <v>445</v>
      </c>
      <c r="C5" s="428" t="s">
        <v>35</v>
      </c>
      <c r="D5" s="431">
        <v>5917.38</v>
      </c>
      <c r="E5" s="428">
        <v>80.56</v>
      </c>
      <c r="F5" s="431">
        <v>4767.04</v>
      </c>
      <c r="G5" s="428">
        <v>9.09</v>
      </c>
      <c r="H5" s="428">
        <v>537.62</v>
      </c>
      <c r="I5" s="428">
        <v>0.28999999999999998</v>
      </c>
      <c r="J5" s="428">
        <v>17.09</v>
      </c>
      <c r="K5" s="428" t="s">
        <v>414</v>
      </c>
      <c r="L5" s="428" t="s">
        <v>414</v>
      </c>
      <c r="M5" s="428" t="s">
        <v>414</v>
      </c>
      <c r="N5" s="428" t="s">
        <v>414</v>
      </c>
      <c r="O5" s="428">
        <v>0.05</v>
      </c>
      <c r="P5" s="428">
        <v>3.14</v>
      </c>
      <c r="Q5" s="428" t="s">
        <v>414</v>
      </c>
      <c r="R5" s="428" t="s">
        <v>414</v>
      </c>
      <c r="S5" s="428">
        <v>3.3</v>
      </c>
      <c r="T5" s="428">
        <v>195.17</v>
      </c>
      <c r="U5" s="428">
        <v>0.1</v>
      </c>
      <c r="V5" s="428">
        <v>5.8</v>
      </c>
      <c r="W5" s="428">
        <v>93.38</v>
      </c>
      <c r="X5" s="431">
        <v>5525.87</v>
      </c>
      <c r="Y5" s="431">
        <v>11443.25</v>
      </c>
    </row>
    <row r="6" spans="1:33">
      <c r="A6" s="429" t="s">
        <v>417</v>
      </c>
      <c r="B6" s="428" t="s">
        <v>446</v>
      </c>
      <c r="C6" s="428" t="s">
        <v>35</v>
      </c>
      <c r="D6" s="431">
        <v>9703.3700000000008</v>
      </c>
      <c r="E6" s="428">
        <v>80.56</v>
      </c>
      <c r="F6" s="431">
        <v>7817.03</v>
      </c>
      <c r="G6" s="428">
        <v>5.54</v>
      </c>
      <c r="H6" s="428">
        <v>537.62</v>
      </c>
      <c r="I6" s="428">
        <v>0.18</v>
      </c>
      <c r="J6" s="428">
        <v>17.09</v>
      </c>
      <c r="K6" s="428" t="s">
        <v>414</v>
      </c>
      <c r="L6" s="428" t="s">
        <v>414</v>
      </c>
      <c r="M6" s="428" t="s">
        <v>414</v>
      </c>
      <c r="N6" s="428" t="s">
        <v>414</v>
      </c>
      <c r="O6" s="428">
        <v>0.03</v>
      </c>
      <c r="P6" s="428">
        <v>3.14</v>
      </c>
      <c r="Q6" s="428" t="s">
        <v>414</v>
      </c>
      <c r="R6" s="428" t="s">
        <v>414</v>
      </c>
      <c r="S6" s="428">
        <v>2.0099999999999998</v>
      </c>
      <c r="T6" s="428">
        <v>195.17</v>
      </c>
      <c r="U6" s="428">
        <v>0.06</v>
      </c>
      <c r="V6" s="428">
        <v>5.8</v>
      </c>
      <c r="W6" s="428">
        <v>88.38</v>
      </c>
      <c r="X6" s="431">
        <v>8575.86</v>
      </c>
      <c r="Y6" s="431">
        <v>18279.23</v>
      </c>
    </row>
    <row r="7" spans="1:33">
      <c r="A7" s="429" t="s">
        <v>418</v>
      </c>
      <c r="B7" s="428" t="s">
        <v>447</v>
      </c>
      <c r="C7" s="428" t="s">
        <v>35</v>
      </c>
      <c r="D7" s="431">
        <v>3811</v>
      </c>
      <c r="E7" s="428">
        <v>80.319999999999993</v>
      </c>
      <c r="F7" s="431">
        <v>3060.99</v>
      </c>
      <c r="G7" s="428">
        <v>14.11</v>
      </c>
      <c r="H7" s="428">
        <v>537.62</v>
      </c>
      <c r="I7" s="428" t="s">
        <v>414</v>
      </c>
      <c r="J7" s="428" t="s">
        <v>414</v>
      </c>
      <c r="K7" s="428" t="s">
        <v>414</v>
      </c>
      <c r="L7" s="428" t="s">
        <v>414</v>
      </c>
      <c r="M7" s="428" t="s">
        <v>414</v>
      </c>
      <c r="N7" s="428" t="s">
        <v>414</v>
      </c>
      <c r="O7" s="428">
        <v>0.09</v>
      </c>
      <c r="P7" s="428">
        <v>3.42</v>
      </c>
      <c r="Q7" s="428" t="s">
        <v>414</v>
      </c>
      <c r="R7" s="428" t="s">
        <v>414</v>
      </c>
      <c r="S7" s="428">
        <v>5.12</v>
      </c>
      <c r="T7" s="428">
        <v>195.17</v>
      </c>
      <c r="U7" s="428">
        <v>0.15</v>
      </c>
      <c r="V7" s="428">
        <v>5.8</v>
      </c>
      <c r="W7" s="428">
        <v>99.79</v>
      </c>
      <c r="X7" s="431">
        <v>3803.01</v>
      </c>
      <c r="Y7" s="431">
        <v>7614</v>
      </c>
    </row>
    <row r="8" spans="1:33">
      <c r="A8" s="429" t="s">
        <v>419</v>
      </c>
      <c r="B8" s="428" t="s">
        <v>448</v>
      </c>
      <c r="C8" s="428" t="s">
        <v>35</v>
      </c>
      <c r="D8" s="431">
        <v>5081.33</v>
      </c>
      <c r="E8" s="428">
        <v>80.319999999999993</v>
      </c>
      <c r="F8" s="431">
        <v>4081.32</v>
      </c>
      <c r="G8" s="428">
        <v>10.58</v>
      </c>
      <c r="H8" s="428">
        <v>537.62</v>
      </c>
      <c r="I8" s="428" t="s">
        <v>414</v>
      </c>
      <c r="J8" s="428" t="s">
        <v>414</v>
      </c>
      <c r="K8" s="428" t="s">
        <v>414</v>
      </c>
      <c r="L8" s="428" t="s">
        <v>414</v>
      </c>
      <c r="M8" s="428" t="s">
        <v>414</v>
      </c>
      <c r="N8" s="428" t="s">
        <v>414</v>
      </c>
      <c r="O8" s="428">
        <v>7.0000000000000007E-2</v>
      </c>
      <c r="P8" s="428">
        <v>3.42</v>
      </c>
      <c r="Q8" s="428" t="s">
        <v>414</v>
      </c>
      <c r="R8" s="428" t="s">
        <v>414</v>
      </c>
      <c r="S8" s="428">
        <v>3.84</v>
      </c>
      <c r="T8" s="428">
        <v>195.17</v>
      </c>
      <c r="U8" s="428">
        <v>0.11</v>
      </c>
      <c r="V8" s="428">
        <v>5.8</v>
      </c>
      <c r="W8" s="428">
        <v>94.92</v>
      </c>
      <c r="X8" s="431">
        <v>4823.34</v>
      </c>
      <c r="Y8" s="431">
        <v>9904.67</v>
      </c>
    </row>
    <row r="9" spans="1:33" ht="13.5" thickBot="1">
      <c r="A9" s="429" t="s">
        <v>420</v>
      </c>
      <c r="B9" s="428" t="s">
        <v>449</v>
      </c>
      <c r="C9" s="428" t="s">
        <v>35</v>
      </c>
      <c r="D9" s="431">
        <v>8810.58</v>
      </c>
      <c r="E9" s="428">
        <v>80.319999999999993</v>
      </c>
      <c r="F9" s="431">
        <v>7076.66</v>
      </c>
      <c r="G9" s="428">
        <v>6.1</v>
      </c>
      <c r="H9" s="428">
        <v>537.62</v>
      </c>
      <c r="I9" s="428" t="s">
        <v>414</v>
      </c>
      <c r="J9" s="428" t="s">
        <v>414</v>
      </c>
      <c r="K9" s="428" t="s">
        <v>414</v>
      </c>
      <c r="L9" s="428" t="s">
        <v>414</v>
      </c>
      <c r="M9" s="428" t="s">
        <v>414</v>
      </c>
      <c r="N9" s="428" t="s">
        <v>414</v>
      </c>
      <c r="O9" s="428">
        <v>0.04</v>
      </c>
      <c r="P9" s="428">
        <v>3.42</v>
      </c>
      <c r="Q9" s="428" t="s">
        <v>414</v>
      </c>
      <c r="R9" s="428" t="s">
        <v>414</v>
      </c>
      <c r="S9" s="428">
        <v>2.2200000000000002</v>
      </c>
      <c r="T9" s="428">
        <v>195.17</v>
      </c>
      <c r="U9" s="428">
        <v>7.0000000000000007E-2</v>
      </c>
      <c r="V9" s="428">
        <v>5.8</v>
      </c>
      <c r="W9" s="428">
        <v>88.74</v>
      </c>
      <c r="X9" s="431">
        <v>7818.68</v>
      </c>
      <c r="Y9" s="431">
        <v>16629.259999999998</v>
      </c>
    </row>
    <row r="10" spans="1:33" ht="13.5" thickBot="1">
      <c r="A10" s="429" t="s">
        <v>421</v>
      </c>
      <c r="B10" s="428" t="s">
        <v>450</v>
      </c>
      <c r="C10" s="428" t="s">
        <v>35</v>
      </c>
      <c r="D10" s="431">
        <v>8882.5</v>
      </c>
      <c r="E10" s="428">
        <v>80.09</v>
      </c>
      <c r="F10" s="431">
        <v>7113.99</v>
      </c>
      <c r="G10" s="428">
        <v>6.05</v>
      </c>
      <c r="H10" s="428">
        <v>537.62</v>
      </c>
      <c r="I10" s="428">
        <v>0.19</v>
      </c>
      <c r="J10" s="428">
        <v>17.09</v>
      </c>
      <c r="K10" s="428" t="s">
        <v>414</v>
      </c>
      <c r="L10" s="428" t="s">
        <v>414</v>
      </c>
      <c r="M10" s="428" t="s">
        <v>414</v>
      </c>
      <c r="N10" s="428" t="s">
        <v>414</v>
      </c>
      <c r="O10" s="428">
        <v>0.02</v>
      </c>
      <c r="P10" s="428">
        <v>2.19</v>
      </c>
      <c r="Q10" s="428" t="s">
        <v>414</v>
      </c>
      <c r="R10" s="428" t="s">
        <v>414</v>
      </c>
      <c r="S10" s="428">
        <v>2.2000000000000002</v>
      </c>
      <c r="T10" s="428">
        <v>195.17</v>
      </c>
      <c r="U10" s="428">
        <v>7.0000000000000007E-2</v>
      </c>
      <c r="V10" s="428">
        <v>5.8</v>
      </c>
      <c r="W10" s="428">
        <v>88.62</v>
      </c>
      <c r="X10" s="431">
        <v>7871.87</v>
      </c>
      <c r="Y10" s="431">
        <v>16754.37</v>
      </c>
      <c r="AB10" s="655" t="s">
        <v>507</v>
      </c>
      <c r="AC10" s="655" t="s">
        <v>508</v>
      </c>
      <c r="AD10" s="655" t="s">
        <v>509</v>
      </c>
      <c r="AE10" s="655" t="s">
        <v>334</v>
      </c>
      <c r="AF10" s="656" t="s">
        <v>510</v>
      </c>
      <c r="AG10" s="657"/>
    </row>
    <row r="11" spans="1:33">
      <c r="A11" s="429" t="s">
        <v>422</v>
      </c>
      <c r="B11" s="428" t="s">
        <v>451</v>
      </c>
      <c r="C11" s="428" t="s">
        <v>35</v>
      </c>
      <c r="D11" s="431">
        <v>9916.8799999999992</v>
      </c>
      <c r="E11" s="428">
        <v>80.09</v>
      </c>
      <c r="F11" s="431">
        <v>7942.43</v>
      </c>
      <c r="G11" s="428">
        <v>5.42</v>
      </c>
      <c r="H11" s="428">
        <v>537.62</v>
      </c>
      <c r="I11" s="428">
        <v>0.17</v>
      </c>
      <c r="J11" s="428">
        <v>17.09</v>
      </c>
      <c r="K11" s="428" t="s">
        <v>414</v>
      </c>
      <c r="L11" s="428" t="s">
        <v>414</v>
      </c>
      <c r="M11" s="428" t="s">
        <v>414</v>
      </c>
      <c r="N11" s="428" t="s">
        <v>414</v>
      </c>
      <c r="O11" s="428">
        <v>0.02</v>
      </c>
      <c r="P11" s="428">
        <v>2.19</v>
      </c>
      <c r="Q11" s="428" t="s">
        <v>414</v>
      </c>
      <c r="R11" s="428" t="s">
        <v>414</v>
      </c>
      <c r="S11" s="428">
        <v>1.97</v>
      </c>
      <c r="T11" s="428">
        <v>195.17</v>
      </c>
      <c r="U11" s="428">
        <v>0.06</v>
      </c>
      <c r="V11" s="428">
        <v>5.8</v>
      </c>
      <c r="W11" s="428">
        <v>87.73</v>
      </c>
      <c r="X11" s="431">
        <v>8700.2999999999993</v>
      </c>
      <c r="Y11" s="431">
        <v>18617.18</v>
      </c>
      <c r="AB11" s="658"/>
      <c r="AC11" s="658"/>
      <c r="AD11" s="658"/>
      <c r="AE11" s="658"/>
      <c r="AF11" s="425" t="s">
        <v>511</v>
      </c>
      <c r="AG11" s="425" t="s">
        <v>512</v>
      </c>
    </row>
    <row r="12" spans="1:33">
      <c r="A12" s="429" t="s">
        <v>423</v>
      </c>
      <c r="B12" s="428" t="s">
        <v>452</v>
      </c>
      <c r="C12" s="428" t="s">
        <v>35</v>
      </c>
      <c r="D12" s="431">
        <v>12682.68</v>
      </c>
      <c r="E12" s="428">
        <v>80.09</v>
      </c>
      <c r="F12" s="431">
        <v>10157.56</v>
      </c>
      <c r="G12" s="428">
        <v>4.24</v>
      </c>
      <c r="H12" s="428">
        <v>537.62</v>
      </c>
      <c r="I12" s="428">
        <v>0.13</v>
      </c>
      <c r="J12" s="428">
        <v>17.09</v>
      </c>
      <c r="K12" s="428" t="s">
        <v>414</v>
      </c>
      <c r="L12" s="428" t="s">
        <v>414</v>
      </c>
      <c r="M12" s="428" t="s">
        <v>414</v>
      </c>
      <c r="N12" s="428" t="s">
        <v>414</v>
      </c>
      <c r="O12" s="428">
        <v>0.02</v>
      </c>
      <c r="P12" s="428">
        <v>2.19</v>
      </c>
      <c r="Q12" s="428" t="s">
        <v>414</v>
      </c>
      <c r="R12" s="428" t="s">
        <v>414</v>
      </c>
      <c r="S12" s="428">
        <v>1.54</v>
      </c>
      <c r="T12" s="428">
        <v>195.17</v>
      </c>
      <c r="U12" s="428">
        <v>0.05</v>
      </c>
      <c r="V12" s="428">
        <v>5.8</v>
      </c>
      <c r="W12" s="428">
        <v>86.07</v>
      </c>
      <c r="X12" s="431">
        <v>10915.43</v>
      </c>
      <c r="Y12" s="431">
        <v>23598.11</v>
      </c>
      <c r="AB12" s="659" t="s">
        <v>150</v>
      </c>
      <c r="AC12" s="426" t="s">
        <v>513</v>
      </c>
      <c r="AD12" s="427" t="s">
        <v>516</v>
      </c>
      <c r="AE12" s="428" t="s">
        <v>519</v>
      </c>
      <c r="AF12" s="428">
        <v>23.89</v>
      </c>
      <c r="AG12" s="428">
        <v>3.23</v>
      </c>
    </row>
    <row r="13" spans="1:33">
      <c r="A13" s="429" t="s">
        <v>424</v>
      </c>
      <c r="B13" s="428" t="s">
        <v>453</v>
      </c>
      <c r="C13" s="428" t="s">
        <v>35</v>
      </c>
      <c r="D13" s="431">
        <v>2756.58</v>
      </c>
      <c r="E13" s="428">
        <v>80.790000000000006</v>
      </c>
      <c r="F13" s="431">
        <v>2227.04</v>
      </c>
      <c r="G13" s="428">
        <v>19.5</v>
      </c>
      <c r="H13" s="428">
        <v>537.62</v>
      </c>
      <c r="I13" s="428">
        <v>0.62</v>
      </c>
      <c r="J13" s="428">
        <v>17.09</v>
      </c>
      <c r="K13" s="428" t="s">
        <v>414</v>
      </c>
      <c r="L13" s="428" t="s">
        <v>414</v>
      </c>
      <c r="M13" s="428">
        <v>1.95</v>
      </c>
      <c r="N13" s="428">
        <v>53.64</v>
      </c>
      <c r="O13" s="428">
        <v>0.16</v>
      </c>
      <c r="P13" s="428">
        <v>4.42</v>
      </c>
      <c r="Q13" s="428" t="s">
        <v>414</v>
      </c>
      <c r="R13" s="428" t="s">
        <v>414</v>
      </c>
      <c r="S13" s="428">
        <v>7.08</v>
      </c>
      <c r="T13" s="428">
        <v>195.17</v>
      </c>
      <c r="U13" s="428">
        <v>0.21</v>
      </c>
      <c r="V13" s="428">
        <v>5.8</v>
      </c>
      <c r="W13" s="428">
        <v>110.31</v>
      </c>
      <c r="X13" s="431">
        <v>3040.78</v>
      </c>
      <c r="Y13" s="431">
        <v>5797.37</v>
      </c>
      <c r="AB13" s="659"/>
      <c r="AC13" s="429" t="s">
        <v>514</v>
      </c>
      <c r="AD13" s="428" t="s">
        <v>517</v>
      </c>
      <c r="AE13" s="428" t="s">
        <v>519</v>
      </c>
      <c r="AF13" s="428">
        <v>46.14</v>
      </c>
      <c r="AG13" s="428">
        <v>12.18</v>
      </c>
    </row>
    <row r="14" spans="1:33">
      <c r="A14" s="429" t="s">
        <v>425</v>
      </c>
      <c r="B14" s="428" t="s">
        <v>454</v>
      </c>
      <c r="C14" s="428" t="s">
        <v>35</v>
      </c>
      <c r="D14" s="431">
        <v>3675.44</v>
      </c>
      <c r="E14" s="428">
        <v>80.790000000000006</v>
      </c>
      <c r="F14" s="431">
        <v>2969.39</v>
      </c>
      <c r="G14" s="428">
        <v>14.63</v>
      </c>
      <c r="H14" s="428">
        <v>537.62</v>
      </c>
      <c r="I14" s="428">
        <v>0.46</v>
      </c>
      <c r="J14" s="428">
        <v>17.09</v>
      </c>
      <c r="K14" s="428" t="s">
        <v>414</v>
      </c>
      <c r="L14" s="428" t="s">
        <v>414</v>
      </c>
      <c r="M14" s="428" t="s">
        <v>414</v>
      </c>
      <c r="N14" s="428" t="s">
        <v>414</v>
      </c>
      <c r="O14" s="428">
        <v>0.12</v>
      </c>
      <c r="P14" s="428">
        <v>4.42</v>
      </c>
      <c r="Q14" s="428" t="s">
        <v>414</v>
      </c>
      <c r="R14" s="428" t="s">
        <v>414</v>
      </c>
      <c r="S14" s="428">
        <v>5.31</v>
      </c>
      <c r="T14" s="428">
        <v>195.17</v>
      </c>
      <c r="U14" s="428">
        <v>0.16</v>
      </c>
      <c r="V14" s="428">
        <v>5.8</v>
      </c>
      <c r="W14" s="428">
        <v>101.47</v>
      </c>
      <c r="X14" s="431">
        <v>3729.49</v>
      </c>
      <c r="Y14" s="431">
        <v>7404.94</v>
      </c>
      <c r="AB14" s="659"/>
      <c r="AC14" s="429" t="s">
        <v>515</v>
      </c>
      <c r="AD14" s="428" t="s">
        <v>518</v>
      </c>
      <c r="AE14" s="428" t="s">
        <v>519</v>
      </c>
      <c r="AF14" s="428">
        <v>52.03</v>
      </c>
      <c r="AG14" s="428">
        <v>30.93</v>
      </c>
    </row>
    <row r="15" spans="1:33">
      <c r="A15" s="429" t="s">
        <v>426</v>
      </c>
      <c r="B15" s="428" t="s">
        <v>455</v>
      </c>
      <c r="C15" s="428" t="s">
        <v>35</v>
      </c>
      <c r="D15" s="431">
        <v>6697.35</v>
      </c>
      <c r="E15" s="428">
        <v>80.790000000000006</v>
      </c>
      <c r="F15" s="431">
        <v>5410.79</v>
      </c>
      <c r="G15" s="428">
        <v>8.0299999999999994</v>
      </c>
      <c r="H15" s="428">
        <v>537.62</v>
      </c>
      <c r="I15" s="428">
        <v>0.26</v>
      </c>
      <c r="J15" s="428">
        <v>17.09</v>
      </c>
      <c r="K15" s="428" t="s">
        <v>414</v>
      </c>
      <c r="L15" s="428" t="s">
        <v>414</v>
      </c>
      <c r="M15" s="428" t="s">
        <v>414</v>
      </c>
      <c r="N15" s="428" t="s">
        <v>414</v>
      </c>
      <c r="O15" s="428">
        <v>7.0000000000000007E-2</v>
      </c>
      <c r="P15" s="428">
        <v>4.42</v>
      </c>
      <c r="Q15" s="428" t="s">
        <v>414</v>
      </c>
      <c r="R15" s="428" t="s">
        <v>414</v>
      </c>
      <c r="S15" s="428">
        <v>2.91</v>
      </c>
      <c r="T15" s="428">
        <v>195.17</v>
      </c>
      <c r="U15" s="428">
        <v>0.09</v>
      </c>
      <c r="V15" s="428">
        <v>5.8</v>
      </c>
      <c r="W15" s="428">
        <v>92.14</v>
      </c>
      <c r="X15" s="431">
        <v>6170.89</v>
      </c>
      <c r="Y15" s="431">
        <v>12868.24</v>
      </c>
    </row>
    <row r="16" spans="1:33">
      <c r="A16" s="429" t="s">
        <v>427</v>
      </c>
      <c r="B16" s="428" t="s">
        <v>456</v>
      </c>
      <c r="C16" s="428" t="s">
        <v>35</v>
      </c>
      <c r="D16" s="431">
        <v>1198.99</v>
      </c>
      <c r="E16" s="428">
        <v>78.61</v>
      </c>
      <c r="F16" s="431">
        <v>942.53</v>
      </c>
      <c r="G16" s="428">
        <v>44.84</v>
      </c>
      <c r="H16" s="428">
        <v>537.62</v>
      </c>
      <c r="I16" s="428">
        <v>1.74</v>
      </c>
      <c r="J16" s="428">
        <v>20.8</v>
      </c>
      <c r="K16" s="428">
        <v>0.09</v>
      </c>
      <c r="L16" s="428">
        <v>1.08</v>
      </c>
      <c r="M16" s="428">
        <v>12.27</v>
      </c>
      <c r="N16" s="428">
        <v>147.09</v>
      </c>
      <c r="O16" s="428">
        <v>0.55000000000000004</v>
      </c>
      <c r="P16" s="428">
        <v>6.55</v>
      </c>
      <c r="Q16" s="428" t="s">
        <v>414</v>
      </c>
      <c r="R16" s="428" t="s">
        <v>414</v>
      </c>
      <c r="S16" s="428">
        <v>16.28</v>
      </c>
      <c r="T16" s="428">
        <v>195.17</v>
      </c>
      <c r="U16" s="428">
        <v>0.48</v>
      </c>
      <c r="V16" s="428">
        <v>5.8</v>
      </c>
      <c r="W16" s="428">
        <v>154.85</v>
      </c>
      <c r="X16" s="431">
        <v>1856.65</v>
      </c>
      <c r="Y16" s="431">
        <v>3055.65</v>
      </c>
    </row>
    <row r="17" spans="1:32" ht="13.5" thickBot="1">
      <c r="A17" s="429" t="s">
        <v>428</v>
      </c>
      <c r="B17" s="428" t="s">
        <v>457</v>
      </c>
      <c r="C17" s="428" t="s">
        <v>35</v>
      </c>
      <c r="D17" s="431">
        <v>1501.2</v>
      </c>
      <c r="E17" s="428">
        <v>77.23</v>
      </c>
      <c r="F17" s="431">
        <v>1159.3800000000001</v>
      </c>
      <c r="G17" s="428">
        <v>35.81</v>
      </c>
      <c r="H17" s="428">
        <v>537.62</v>
      </c>
      <c r="I17" s="428" t="s">
        <v>414</v>
      </c>
      <c r="J17" s="428" t="s">
        <v>414</v>
      </c>
      <c r="K17" s="428" t="s">
        <v>414</v>
      </c>
      <c r="L17" s="428" t="s">
        <v>414</v>
      </c>
      <c r="M17" s="428">
        <v>8.59</v>
      </c>
      <c r="N17" s="428">
        <v>128.96</v>
      </c>
      <c r="O17" s="428">
        <v>0.3</v>
      </c>
      <c r="P17" s="428">
        <v>4.47</v>
      </c>
      <c r="Q17" s="428" t="s">
        <v>414</v>
      </c>
      <c r="R17" s="428" t="s">
        <v>414</v>
      </c>
      <c r="S17" s="428">
        <v>13</v>
      </c>
      <c r="T17" s="428">
        <v>195.17</v>
      </c>
      <c r="U17" s="428">
        <v>0.39</v>
      </c>
      <c r="V17" s="428">
        <v>5.8</v>
      </c>
      <c r="W17" s="428">
        <v>135.32</v>
      </c>
      <c r="X17" s="431">
        <v>2031.4</v>
      </c>
      <c r="Y17" s="431">
        <v>3532.6</v>
      </c>
    </row>
    <row r="18" spans="1:32">
      <c r="A18" s="429" t="s">
        <v>429</v>
      </c>
      <c r="B18" s="428" t="s">
        <v>458</v>
      </c>
      <c r="C18" s="428" t="s">
        <v>35</v>
      </c>
      <c r="D18" s="431">
        <v>1374.07</v>
      </c>
      <c r="E18" s="428">
        <v>76.59</v>
      </c>
      <c r="F18" s="431">
        <v>1052.4000000000001</v>
      </c>
      <c r="G18" s="428">
        <v>39.130000000000003</v>
      </c>
      <c r="H18" s="428">
        <v>537.62</v>
      </c>
      <c r="I18" s="428">
        <v>1.51</v>
      </c>
      <c r="J18" s="428">
        <v>20.8</v>
      </c>
      <c r="K18" s="428">
        <v>0.16</v>
      </c>
      <c r="L18" s="428">
        <v>2.23</v>
      </c>
      <c r="M18" s="428">
        <v>9.94</v>
      </c>
      <c r="N18" s="428">
        <v>136.59</v>
      </c>
      <c r="O18" s="428">
        <v>0.31</v>
      </c>
      <c r="P18" s="428">
        <v>4.3099999999999996</v>
      </c>
      <c r="Q18" s="428" t="s">
        <v>414</v>
      </c>
      <c r="R18" s="428" t="s">
        <v>414</v>
      </c>
      <c r="S18" s="428">
        <v>14.2</v>
      </c>
      <c r="T18" s="428">
        <v>195.17</v>
      </c>
      <c r="U18" s="428">
        <v>0.42</v>
      </c>
      <c r="V18" s="428">
        <v>5.8</v>
      </c>
      <c r="W18" s="428">
        <v>142.27000000000001</v>
      </c>
      <c r="X18" s="431">
        <v>1954.93</v>
      </c>
      <c r="Y18" s="431">
        <v>3329</v>
      </c>
      <c r="AB18" s="655" t="s">
        <v>507</v>
      </c>
      <c r="AC18" s="655" t="s">
        <v>508</v>
      </c>
      <c r="AD18" s="655" t="s">
        <v>509</v>
      </c>
      <c r="AE18" s="655" t="s">
        <v>334</v>
      </c>
      <c r="AF18" s="666" t="s">
        <v>520</v>
      </c>
    </row>
    <row r="19" spans="1:32">
      <c r="A19" s="429" t="s">
        <v>430</v>
      </c>
      <c r="B19" s="428" t="s">
        <v>459</v>
      </c>
      <c r="C19" s="428" t="s">
        <v>35</v>
      </c>
      <c r="D19" s="431">
        <v>1109.3399999999999</v>
      </c>
      <c r="E19" s="428">
        <v>76.709999999999994</v>
      </c>
      <c r="F19" s="431">
        <v>850.97</v>
      </c>
      <c r="G19" s="428">
        <v>48.46</v>
      </c>
      <c r="H19" s="428">
        <v>537.62</v>
      </c>
      <c r="I19" s="428">
        <v>1.88</v>
      </c>
      <c r="J19" s="428">
        <v>20.8</v>
      </c>
      <c r="K19" s="428">
        <v>0.08</v>
      </c>
      <c r="L19" s="428">
        <v>0.94</v>
      </c>
      <c r="M19" s="428">
        <v>13.74</v>
      </c>
      <c r="N19" s="428">
        <v>152.47</v>
      </c>
      <c r="O19" s="428">
        <v>0.32</v>
      </c>
      <c r="P19" s="428">
        <v>3.54</v>
      </c>
      <c r="Q19" s="428" t="s">
        <v>414</v>
      </c>
      <c r="R19" s="428" t="s">
        <v>414</v>
      </c>
      <c r="S19" s="428">
        <v>17.59</v>
      </c>
      <c r="T19" s="428">
        <v>195.17</v>
      </c>
      <c r="U19" s="428">
        <v>0.52</v>
      </c>
      <c r="V19" s="428">
        <v>5.8</v>
      </c>
      <c r="W19" s="428">
        <v>159.31</v>
      </c>
      <c r="X19" s="431">
        <v>1767.33</v>
      </c>
      <c r="Y19" s="431">
        <v>2876.67</v>
      </c>
      <c r="AB19" s="658"/>
      <c r="AC19" s="658"/>
      <c r="AD19" s="658"/>
      <c r="AE19" s="658"/>
      <c r="AF19" s="667"/>
    </row>
    <row r="20" spans="1:32">
      <c r="A20" s="429" t="s">
        <v>431</v>
      </c>
      <c r="B20" s="428" t="s">
        <v>460</v>
      </c>
      <c r="C20" s="428" t="s">
        <v>35</v>
      </c>
      <c r="D20" s="431">
        <v>2836.43</v>
      </c>
      <c r="E20" s="428">
        <v>80.55</v>
      </c>
      <c r="F20" s="431">
        <v>2284.7399999999998</v>
      </c>
      <c r="G20" s="428">
        <v>18.95</v>
      </c>
      <c r="H20" s="428">
        <v>537.62</v>
      </c>
      <c r="I20" s="428">
        <v>0.6</v>
      </c>
      <c r="J20" s="428">
        <v>17.09</v>
      </c>
      <c r="K20" s="428" t="s">
        <v>414</v>
      </c>
      <c r="L20" s="428" t="s">
        <v>414</v>
      </c>
      <c r="M20" s="428">
        <v>1.72</v>
      </c>
      <c r="N20" s="428">
        <v>48.85</v>
      </c>
      <c r="O20" s="428">
        <v>0.14000000000000001</v>
      </c>
      <c r="P20" s="428">
        <v>3.94</v>
      </c>
      <c r="Q20" s="428" t="s">
        <v>414</v>
      </c>
      <c r="R20" s="428" t="s">
        <v>414</v>
      </c>
      <c r="S20" s="428">
        <v>6.88</v>
      </c>
      <c r="T20" s="428">
        <v>195.17</v>
      </c>
      <c r="U20" s="428">
        <v>0.2</v>
      </c>
      <c r="V20" s="428">
        <v>5.8</v>
      </c>
      <c r="W20" s="428">
        <v>109.05</v>
      </c>
      <c r="X20" s="431">
        <v>3093.21</v>
      </c>
      <c r="Y20" s="431">
        <v>5929.64</v>
      </c>
      <c r="AB20" s="660" t="s">
        <v>521</v>
      </c>
      <c r="AC20" s="428" t="s">
        <v>523</v>
      </c>
      <c r="AD20" s="428" t="s">
        <v>533</v>
      </c>
      <c r="AE20" s="428" t="s">
        <v>541</v>
      </c>
      <c r="AF20" s="428">
        <v>26.93</v>
      </c>
    </row>
    <row r="21" spans="1:32">
      <c r="A21" s="429" t="s">
        <v>432</v>
      </c>
      <c r="B21" s="428" t="s">
        <v>461</v>
      </c>
      <c r="C21" s="428" t="s">
        <v>35</v>
      </c>
      <c r="D21" s="431">
        <v>3781.9</v>
      </c>
      <c r="E21" s="428">
        <v>80.55</v>
      </c>
      <c r="F21" s="431">
        <v>3046.32</v>
      </c>
      <c r="G21" s="428">
        <v>14.22</v>
      </c>
      <c r="H21" s="428">
        <v>537.62</v>
      </c>
      <c r="I21" s="428">
        <v>0.45</v>
      </c>
      <c r="J21" s="428">
        <v>17.09</v>
      </c>
      <c r="K21" s="428" t="s">
        <v>414</v>
      </c>
      <c r="L21" s="428" t="s">
        <v>414</v>
      </c>
      <c r="M21" s="428" t="s">
        <v>414</v>
      </c>
      <c r="N21" s="428" t="s">
        <v>414</v>
      </c>
      <c r="O21" s="428">
        <v>0.1</v>
      </c>
      <c r="P21" s="428">
        <v>3.94</v>
      </c>
      <c r="Q21" s="428" t="s">
        <v>414</v>
      </c>
      <c r="R21" s="428" t="s">
        <v>414</v>
      </c>
      <c r="S21" s="428">
        <v>5.16</v>
      </c>
      <c r="T21" s="428">
        <v>195.17</v>
      </c>
      <c r="U21" s="428">
        <v>0.15</v>
      </c>
      <c r="V21" s="428">
        <v>5.8</v>
      </c>
      <c r="W21" s="428">
        <v>100.64</v>
      </c>
      <c r="X21" s="431">
        <v>3805.95</v>
      </c>
      <c r="Y21" s="431">
        <v>7587.85</v>
      </c>
      <c r="AB21" s="660"/>
      <c r="AC21" s="428" t="s">
        <v>524</v>
      </c>
      <c r="AD21" s="428" t="s">
        <v>534</v>
      </c>
      <c r="AE21" s="428" t="s">
        <v>541</v>
      </c>
      <c r="AF21" s="428">
        <v>14.71</v>
      </c>
    </row>
    <row r="22" spans="1:32">
      <c r="A22" s="429" t="s">
        <v>433</v>
      </c>
      <c r="B22" s="428" t="s">
        <v>462</v>
      </c>
      <c r="C22" s="428" t="s">
        <v>35</v>
      </c>
      <c r="D22" s="431">
        <v>6057.5</v>
      </c>
      <c r="E22" s="428">
        <v>80.55</v>
      </c>
      <c r="F22" s="431">
        <v>4879.32</v>
      </c>
      <c r="G22" s="428">
        <v>8.8800000000000008</v>
      </c>
      <c r="H22" s="428">
        <v>537.62</v>
      </c>
      <c r="I22" s="428">
        <v>0.28000000000000003</v>
      </c>
      <c r="J22" s="428">
        <v>17.09</v>
      </c>
      <c r="K22" s="428" t="s">
        <v>414</v>
      </c>
      <c r="L22" s="428" t="s">
        <v>414</v>
      </c>
      <c r="M22" s="428" t="s">
        <v>414</v>
      </c>
      <c r="N22" s="428" t="s">
        <v>414</v>
      </c>
      <c r="O22" s="428">
        <v>7.0000000000000007E-2</v>
      </c>
      <c r="P22" s="428">
        <v>3.94</v>
      </c>
      <c r="Q22" s="428" t="s">
        <v>414</v>
      </c>
      <c r="R22" s="428" t="s">
        <v>414</v>
      </c>
      <c r="S22" s="428">
        <v>3.22</v>
      </c>
      <c r="T22" s="428">
        <v>195.17</v>
      </c>
      <c r="U22" s="428">
        <v>0.1</v>
      </c>
      <c r="V22" s="428">
        <v>5.8</v>
      </c>
      <c r="W22" s="428">
        <v>93.09</v>
      </c>
      <c r="X22" s="431">
        <v>5638.94</v>
      </c>
      <c r="Y22" s="431">
        <v>11696.45</v>
      </c>
      <c r="AB22" s="660" t="s">
        <v>522</v>
      </c>
      <c r="AC22" s="428" t="s">
        <v>525</v>
      </c>
      <c r="AD22" s="428" t="s">
        <v>535</v>
      </c>
      <c r="AE22" s="428" t="s">
        <v>542</v>
      </c>
      <c r="AF22" s="428">
        <v>431.28</v>
      </c>
    </row>
    <row r="23" spans="1:32">
      <c r="A23" s="429" t="s">
        <v>434</v>
      </c>
      <c r="B23" s="428" t="s">
        <v>463</v>
      </c>
      <c r="C23" s="428" t="s">
        <v>35</v>
      </c>
      <c r="D23" s="431">
        <v>3374.76</v>
      </c>
      <c r="E23" s="428">
        <v>80.41</v>
      </c>
      <c r="F23" s="431">
        <v>2713.65</v>
      </c>
      <c r="G23" s="428">
        <v>15.93</v>
      </c>
      <c r="H23" s="428">
        <v>537.62</v>
      </c>
      <c r="I23" s="428" t="s">
        <v>414</v>
      </c>
      <c r="J23" s="428" t="s">
        <v>414</v>
      </c>
      <c r="K23" s="428" t="s">
        <v>414</v>
      </c>
      <c r="L23" s="428" t="s">
        <v>414</v>
      </c>
      <c r="M23" s="428">
        <v>0.49</v>
      </c>
      <c r="N23" s="428">
        <v>16.55</v>
      </c>
      <c r="O23" s="428">
        <v>0.09</v>
      </c>
      <c r="P23" s="428">
        <v>3.19</v>
      </c>
      <c r="Q23" s="428" t="s">
        <v>414</v>
      </c>
      <c r="R23" s="428" t="s">
        <v>414</v>
      </c>
      <c r="S23" s="428">
        <v>5.78</v>
      </c>
      <c r="T23" s="428">
        <v>195.17</v>
      </c>
      <c r="U23" s="428">
        <v>0.17</v>
      </c>
      <c r="V23" s="428">
        <v>5.8</v>
      </c>
      <c r="W23" s="428">
        <v>102.88</v>
      </c>
      <c r="X23" s="431">
        <v>3471.97</v>
      </c>
      <c r="Y23" s="431">
        <v>6846.74</v>
      </c>
      <c r="AB23" s="660"/>
      <c r="AC23" s="428" t="s">
        <v>526</v>
      </c>
      <c r="AD23" s="428" t="s">
        <v>536</v>
      </c>
      <c r="AE23" s="428" t="s">
        <v>542</v>
      </c>
      <c r="AF23" s="428">
        <v>16.86</v>
      </c>
    </row>
    <row r="24" spans="1:32" ht="12.75" customHeight="1">
      <c r="A24" s="429" t="s">
        <v>435</v>
      </c>
      <c r="B24" s="428" t="s">
        <v>464</v>
      </c>
      <c r="C24" s="428" t="s">
        <v>35</v>
      </c>
      <c r="D24" s="431">
        <v>4066.47</v>
      </c>
      <c r="E24" s="428">
        <v>80.239999999999995</v>
      </c>
      <c r="F24" s="431">
        <v>3262.94</v>
      </c>
      <c r="G24" s="428">
        <v>13.22</v>
      </c>
      <c r="H24" s="428">
        <v>537.62</v>
      </c>
      <c r="I24" s="428" t="s">
        <v>414</v>
      </c>
      <c r="J24" s="428" t="s">
        <v>414</v>
      </c>
      <c r="K24" s="428" t="s">
        <v>414</v>
      </c>
      <c r="L24" s="428" t="s">
        <v>414</v>
      </c>
      <c r="M24" s="428" t="s">
        <v>414</v>
      </c>
      <c r="N24" s="428" t="s">
        <v>414</v>
      </c>
      <c r="O24" s="428">
        <v>7.0000000000000007E-2</v>
      </c>
      <c r="P24" s="428">
        <v>2.78</v>
      </c>
      <c r="Q24" s="428" t="s">
        <v>414</v>
      </c>
      <c r="R24" s="428" t="s">
        <v>414</v>
      </c>
      <c r="S24" s="428">
        <v>4.8</v>
      </c>
      <c r="T24" s="428">
        <v>195.17</v>
      </c>
      <c r="U24" s="428">
        <v>0.14000000000000001</v>
      </c>
      <c r="V24" s="428">
        <v>5.8</v>
      </c>
      <c r="W24" s="428">
        <v>98.47</v>
      </c>
      <c r="X24" s="431">
        <v>4004.31</v>
      </c>
      <c r="Y24" s="431">
        <v>8070.79</v>
      </c>
      <c r="AB24" s="661" t="s">
        <v>544</v>
      </c>
      <c r="AC24" s="428" t="s">
        <v>527</v>
      </c>
      <c r="AD24" s="428" t="s">
        <v>537</v>
      </c>
      <c r="AE24" s="428" t="s">
        <v>543</v>
      </c>
      <c r="AF24" s="431">
        <v>4054.72</v>
      </c>
    </row>
    <row r="25" spans="1:32">
      <c r="A25" s="429" t="s">
        <v>436</v>
      </c>
      <c r="B25" s="428" t="s">
        <v>465</v>
      </c>
      <c r="C25" s="428" t="s">
        <v>35</v>
      </c>
      <c r="D25" s="431">
        <v>5421.97</v>
      </c>
      <c r="E25" s="428">
        <v>80.239999999999995</v>
      </c>
      <c r="F25" s="431">
        <v>4350.59</v>
      </c>
      <c r="G25" s="428">
        <v>9.92</v>
      </c>
      <c r="H25" s="428">
        <v>537.62</v>
      </c>
      <c r="I25" s="428" t="s">
        <v>414</v>
      </c>
      <c r="J25" s="428" t="s">
        <v>414</v>
      </c>
      <c r="K25" s="428" t="s">
        <v>414</v>
      </c>
      <c r="L25" s="428" t="s">
        <v>414</v>
      </c>
      <c r="M25" s="428" t="s">
        <v>414</v>
      </c>
      <c r="N25" s="428" t="s">
        <v>414</v>
      </c>
      <c r="O25" s="428">
        <v>0.05</v>
      </c>
      <c r="P25" s="428">
        <v>2.78</v>
      </c>
      <c r="Q25" s="428" t="s">
        <v>414</v>
      </c>
      <c r="R25" s="428" t="s">
        <v>414</v>
      </c>
      <c r="S25" s="428">
        <v>3.6</v>
      </c>
      <c r="T25" s="428">
        <v>195.17</v>
      </c>
      <c r="U25" s="428">
        <v>0.11</v>
      </c>
      <c r="V25" s="428">
        <v>5.8</v>
      </c>
      <c r="W25" s="428">
        <v>93.91</v>
      </c>
      <c r="X25" s="431">
        <v>5091.96</v>
      </c>
      <c r="Y25" s="431">
        <v>10513.93</v>
      </c>
      <c r="AB25" s="661"/>
      <c r="AC25" s="428" t="s">
        <v>528</v>
      </c>
      <c r="AD25" s="428" t="s">
        <v>538</v>
      </c>
      <c r="AE25" s="428" t="s">
        <v>543</v>
      </c>
      <c r="AF25" s="431">
        <v>3186.22</v>
      </c>
    </row>
    <row r="26" spans="1:32">
      <c r="A26" s="429" t="s">
        <v>437</v>
      </c>
      <c r="B26" s="428" t="s">
        <v>466</v>
      </c>
      <c r="C26" s="428" t="s">
        <v>35</v>
      </c>
      <c r="D26" s="431">
        <v>10542.78</v>
      </c>
      <c r="E26" s="428">
        <v>80.239999999999995</v>
      </c>
      <c r="F26" s="431">
        <v>8459.5300000000007</v>
      </c>
      <c r="G26" s="428">
        <v>5.0999999999999996</v>
      </c>
      <c r="H26" s="428">
        <v>537.62</v>
      </c>
      <c r="I26" s="428" t="s">
        <v>414</v>
      </c>
      <c r="J26" s="428" t="s">
        <v>414</v>
      </c>
      <c r="K26" s="428" t="s">
        <v>414</v>
      </c>
      <c r="L26" s="428" t="s">
        <v>414</v>
      </c>
      <c r="M26" s="428" t="s">
        <v>414</v>
      </c>
      <c r="N26" s="428" t="s">
        <v>414</v>
      </c>
      <c r="O26" s="428">
        <v>0.03</v>
      </c>
      <c r="P26" s="428">
        <v>2.78</v>
      </c>
      <c r="Q26" s="428" t="s">
        <v>414</v>
      </c>
      <c r="R26" s="428" t="s">
        <v>414</v>
      </c>
      <c r="S26" s="428">
        <v>1.85</v>
      </c>
      <c r="T26" s="428">
        <v>195.17</v>
      </c>
      <c r="U26" s="428">
        <v>0.06</v>
      </c>
      <c r="V26" s="428">
        <v>5.8</v>
      </c>
      <c r="W26" s="428">
        <v>87.27</v>
      </c>
      <c r="X26" s="431">
        <v>9200.9</v>
      </c>
      <c r="Y26" s="431">
        <v>19743.68</v>
      </c>
      <c r="AB26" s="661"/>
      <c r="AC26" s="428" t="s">
        <v>529</v>
      </c>
      <c r="AD26" s="428" t="s">
        <v>539</v>
      </c>
      <c r="AE26" s="428" t="s">
        <v>543</v>
      </c>
      <c r="AF26" s="431">
        <v>2658.97</v>
      </c>
    </row>
    <row r="27" spans="1:32">
      <c r="A27" s="429" t="s">
        <v>438</v>
      </c>
      <c r="B27" s="428" t="s">
        <v>467</v>
      </c>
      <c r="C27" s="428" t="s">
        <v>35</v>
      </c>
      <c r="D27" s="431">
        <v>15919.16</v>
      </c>
      <c r="E27" s="428">
        <v>80.069999999999993</v>
      </c>
      <c r="F27" s="431">
        <v>12746.47</v>
      </c>
      <c r="G27" s="428">
        <v>3.38</v>
      </c>
      <c r="H27" s="428">
        <v>537.62</v>
      </c>
      <c r="I27" s="428">
        <v>0.1</v>
      </c>
      <c r="J27" s="428">
        <v>15.61</v>
      </c>
      <c r="K27" s="428" t="s">
        <v>414</v>
      </c>
      <c r="L27" s="428" t="s">
        <v>414</v>
      </c>
      <c r="M27" s="428" t="s">
        <v>414</v>
      </c>
      <c r="N27" s="428" t="s">
        <v>414</v>
      </c>
      <c r="O27" s="428">
        <v>0.02</v>
      </c>
      <c r="P27" s="428">
        <v>2.6</v>
      </c>
      <c r="Q27" s="428" t="s">
        <v>414</v>
      </c>
      <c r="R27" s="428" t="s">
        <v>414</v>
      </c>
      <c r="S27" s="428">
        <v>1.23</v>
      </c>
      <c r="T27" s="428">
        <v>195.17</v>
      </c>
      <c r="U27" s="428">
        <v>0.04</v>
      </c>
      <c r="V27" s="428">
        <v>5.8</v>
      </c>
      <c r="W27" s="428">
        <v>84.82</v>
      </c>
      <c r="X27" s="431">
        <v>13503.28</v>
      </c>
      <c r="Y27" s="431">
        <v>29422.44</v>
      </c>
      <c r="AB27" s="661"/>
      <c r="AC27" s="428" t="s">
        <v>530</v>
      </c>
      <c r="AD27" s="428" t="s">
        <v>540</v>
      </c>
      <c r="AE27" s="428" t="s">
        <v>543</v>
      </c>
      <c r="AF27" s="431">
        <v>1970.46</v>
      </c>
    </row>
    <row r="28" spans="1:32" ht="12.75" customHeight="1">
      <c r="A28" s="429" t="s">
        <v>439</v>
      </c>
      <c r="B28" s="428" t="s">
        <v>468</v>
      </c>
      <c r="C28" s="428" t="s">
        <v>35</v>
      </c>
      <c r="D28" s="431">
        <v>4780.17</v>
      </c>
      <c r="E28" s="428">
        <v>80</v>
      </c>
      <c r="F28" s="431">
        <v>3824.13</v>
      </c>
      <c r="G28" s="428">
        <v>11.25</v>
      </c>
      <c r="H28" s="428">
        <v>537.62</v>
      </c>
      <c r="I28" s="428" t="s">
        <v>414</v>
      </c>
      <c r="J28" s="428" t="s">
        <v>414</v>
      </c>
      <c r="K28" s="428" t="s">
        <v>414</v>
      </c>
      <c r="L28" s="428" t="s">
        <v>414</v>
      </c>
      <c r="M28" s="428" t="s">
        <v>414</v>
      </c>
      <c r="N28" s="428" t="s">
        <v>414</v>
      </c>
      <c r="O28" s="428">
        <v>0.06</v>
      </c>
      <c r="P28" s="428">
        <v>2.81</v>
      </c>
      <c r="Q28" s="428" t="s">
        <v>414</v>
      </c>
      <c r="R28" s="428" t="s">
        <v>414</v>
      </c>
      <c r="S28" s="428">
        <v>4.08</v>
      </c>
      <c r="T28" s="428">
        <v>195.17</v>
      </c>
      <c r="U28" s="428">
        <v>0.12</v>
      </c>
      <c r="V28" s="428">
        <v>5.8</v>
      </c>
      <c r="W28" s="428">
        <v>95.51</v>
      </c>
      <c r="X28" s="431">
        <v>4565.54</v>
      </c>
      <c r="Y28" s="431">
        <v>9345.7099999999991</v>
      </c>
      <c r="AB28" s="661" t="s">
        <v>545</v>
      </c>
      <c r="AC28" s="428" t="s">
        <v>531</v>
      </c>
      <c r="AD28" s="428" t="s">
        <v>535</v>
      </c>
      <c r="AE28" s="428" t="s">
        <v>542</v>
      </c>
      <c r="AF28" s="428">
        <v>152.78</v>
      </c>
    </row>
    <row r="29" spans="1:32">
      <c r="A29" s="429" t="s">
        <v>440</v>
      </c>
      <c r="B29" s="428" t="s">
        <v>469</v>
      </c>
      <c r="C29" s="428" t="s">
        <v>35</v>
      </c>
      <c r="D29" s="431">
        <v>6373.56</v>
      </c>
      <c r="E29" s="428">
        <v>80</v>
      </c>
      <c r="F29" s="431">
        <v>5098.8500000000004</v>
      </c>
      <c r="G29" s="428">
        <v>8.44</v>
      </c>
      <c r="H29" s="428">
        <v>537.62</v>
      </c>
      <c r="I29" s="428" t="s">
        <v>414</v>
      </c>
      <c r="J29" s="428" t="s">
        <v>414</v>
      </c>
      <c r="K29" s="428" t="s">
        <v>414</v>
      </c>
      <c r="L29" s="428" t="s">
        <v>414</v>
      </c>
      <c r="M29" s="428" t="s">
        <v>414</v>
      </c>
      <c r="N29" s="428" t="s">
        <v>414</v>
      </c>
      <c r="O29" s="428">
        <v>0.04</v>
      </c>
      <c r="P29" s="428">
        <v>2.81</v>
      </c>
      <c r="Q29" s="428" t="s">
        <v>414</v>
      </c>
      <c r="R29" s="428" t="s">
        <v>414</v>
      </c>
      <c r="S29" s="428">
        <v>3.06</v>
      </c>
      <c r="T29" s="428">
        <v>195.17</v>
      </c>
      <c r="U29" s="428">
        <v>0.09</v>
      </c>
      <c r="V29" s="428">
        <v>5.8</v>
      </c>
      <c r="W29" s="428">
        <v>91.63</v>
      </c>
      <c r="X29" s="431">
        <v>5840.25</v>
      </c>
      <c r="Y29" s="431">
        <v>12213.81</v>
      </c>
      <c r="AB29" s="661"/>
      <c r="AC29" s="428" t="s">
        <v>532</v>
      </c>
      <c r="AD29" s="428" t="s">
        <v>536</v>
      </c>
      <c r="AE29" s="428" t="s">
        <v>542</v>
      </c>
      <c r="AF29" s="428">
        <v>201</v>
      </c>
    </row>
    <row r="30" spans="1:32">
      <c r="A30" s="429" t="s">
        <v>441</v>
      </c>
      <c r="B30" s="428" t="s">
        <v>470</v>
      </c>
      <c r="C30" s="428" t="s">
        <v>35</v>
      </c>
      <c r="D30" s="431">
        <v>11465.65</v>
      </c>
      <c r="E30" s="428">
        <v>80</v>
      </c>
      <c r="F30" s="431">
        <v>9172.52</v>
      </c>
      <c r="G30" s="428">
        <v>4.6900000000000004</v>
      </c>
      <c r="H30" s="428">
        <v>537.62</v>
      </c>
      <c r="I30" s="428" t="s">
        <v>414</v>
      </c>
      <c r="J30" s="428" t="s">
        <v>414</v>
      </c>
      <c r="K30" s="428" t="s">
        <v>414</v>
      </c>
      <c r="L30" s="428" t="s">
        <v>414</v>
      </c>
      <c r="M30" s="428" t="s">
        <v>414</v>
      </c>
      <c r="N30" s="428" t="s">
        <v>414</v>
      </c>
      <c r="O30" s="428">
        <v>0.02</v>
      </c>
      <c r="P30" s="428">
        <v>2.81</v>
      </c>
      <c r="Q30" s="428" t="s">
        <v>414</v>
      </c>
      <c r="R30" s="428" t="s">
        <v>414</v>
      </c>
      <c r="S30" s="428">
        <v>1.7</v>
      </c>
      <c r="T30" s="428">
        <v>195.17</v>
      </c>
      <c r="U30" s="428">
        <v>0.05</v>
      </c>
      <c r="V30" s="428">
        <v>5.8</v>
      </c>
      <c r="W30" s="428">
        <v>86.47</v>
      </c>
      <c r="X30" s="431">
        <v>9913.92</v>
      </c>
      <c r="Y30" s="431">
        <v>21379.57</v>
      </c>
    </row>
    <row r="31" spans="1:32">
      <c r="A31" s="429" t="s">
        <v>442</v>
      </c>
      <c r="B31" s="428" t="s">
        <v>471</v>
      </c>
      <c r="C31" s="428" t="s">
        <v>35</v>
      </c>
      <c r="D31" s="431">
        <v>8882.5</v>
      </c>
      <c r="E31" s="428">
        <v>79.95</v>
      </c>
      <c r="F31" s="431">
        <v>7101.56</v>
      </c>
      <c r="G31" s="428">
        <v>6.05</v>
      </c>
      <c r="H31" s="428">
        <v>537.62</v>
      </c>
      <c r="I31" s="428">
        <v>0.19</v>
      </c>
      <c r="J31" s="428">
        <v>17.09</v>
      </c>
      <c r="K31" s="428" t="s">
        <v>414</v>
      </c>
      <c r="L31" s="428" t="s">
        <v>414</v>
      </c>
      <c r="M31" s="428" t="s">
        <v>414</v>
      </c>
      <c r="N31" s="428" t="s">
        <v>414</v>
      </c>
      <c r="O31" s="428">
        <v>0.03</v>
      </c>
      <c r="P31" s="428">
        <v>2.39</v>
      </c>
      <c r="Q31" s="428" t="s">
        <v>414</v>
      </c>
      <c r="R31" s="428" t="s">
        <v>414</v>
      </c>
      <c r="S31" s="428">
        <v>2.2000000000000002</v>
      </c>
      <c r="T31" s="428">
        <v>195.17</v>
      </c>
      <c r="U31" s="428">
        <v>7.0000000000000007E-2</v>
      </c>
      <c r="V31" s="428">
        <v>5.8</v>
      </c>
      <c r="W31" s="428">
        <v>88.48</v>
      </c>
      <c r="X31" s="431">
        <v>7859.63</v>
      </c>
      <c r="Y31" s="431">
        <v>16742.13</v>
      </c>
    </row>
    <row r="32" spans="1:32">
      <c r="A32" s="429" t="s">
        <v>443</v>
      </c>
      <c r="B32" s="428" t="s">
        <v>472</v>
      </c>
      <c r="C32" s="428" t="s">
        <v>35</v>
      </c>
      <c r="D32" s="431">
        <v>9288.81</v>
      </c>
      <c r="E32" s="428">
        <v>79.95</v>
      </c>
      <c r="F32" s="431">
        <v>7426.4</v>
      </c>
      <c r="G32" s="428">
        <v>5.79</v>
      </c>
      <c r="H32" s="428">
        <v>537.62</v>
      </c>
      <c r="I32" s="428">
        <v>0.18</v>
      </c>
      <c r="J32" s="428">
        <v>17.09</v>
      </c>
      <c r="K32" s="428" t="s">
        <v>414</v>
      </c>
      <c r="L32" s="428" t="s">
        <v>414</v>
      </c>
      <c r="M32" s="428" t="s">
        <v>414</v>
      </c>
      <c r="N32" s="428" t="s">
        <v>414</v>
      </c>
      <c r="O32" s="428">
        <v>0.03</v>
      </c>
      <c r="P32" s="428">
        <v>2.39</v>
      </c>
      <c r="Q32" s="428" t="s">
        <v>414</v>
      </c>
      <c r="R32" s="428" t="s">
        <v>414</v>
      </c>
      <c r="S32" s="428">
        <v>2.1</v>
      </c>
      <c r="T32" s="428">
        <v>195.17</v>
      </c>
      <c r="U32" s="428">
        <v>0.06</v>
      </c>
      <c r="V32" s="428">
        <v>5.8</v>
      </c>
      <c r="W32" s="428">
        <v>88.11</v>
      </c>
      <c r="X32" s="431">
        <v>8184.48</v>
      </c>
      <c r="Y32" s="431">
        <v>17473.29</v>
      </c>
    </row>
    <row r="33" spans="1:33" ht="12.75" customHeight="1">
      <c r="A33" s="429" t="s">
        <v>349</v>
      </c>
      <c r="B33" s="428" t="s">
        <v>381</v>
      </c>
      <c r="C33" s="428" t="s">
        <v>35</v>
      </c>
      <c r="D33" s="431">
        <v>10975.39</v>
      </c>
      <c r="E33" s="428">
        <v>79.95</v>
      </c>
      <c r="F33" s="431">
        <v>8774.82</v>
      </c>
      <c r="G33" s="428">
        <v>4.9000000000000004</v>
      </c>
      <c r="H33" s="428">
        <v>537.62</v>
      </c>
      <c r="I33" s="428">
        <v>0.16</v>
      </c>
      <c r="J33" s="428">
        <v>17.09</v>
      </c>
      <c r="K33" s="428" t="s">
        <v>414</v>
      </c>
      <c r="L33" s="428" t="s">
        <v>414</v>
      </c>
      <c r="M33" s="428" t="s">
        <v>414</v>
      </c>
      <c r="N33" s="428" t="s">
        <v>414</v>
      </c>
      <c r="O33" s="428">
        <v>0.02</v>
      </c>
      <c r="P33" s="428">
        <v>2.39</v>
      </c>
      <c r="Q33" s="428" t="s">
        <v>414</v>
      </c>
      <c r="R33" s="428" t="s">
        <v>414</v>
      </c>
      <c r="S33" s="428">
        <v>1.78</v>
      </c>
      <c r="T33" s="428">
        <v>195.17</v>
      </c>
      <c r="U33" s="428">
        <v>0.05</v>
      </c>
      <c r="V33" s="428">
        <v>5.8</v>
      </c>
      <c r="W33" s="428">
        <v>86.86</v>
      </c>
      <c r="X33" s="431">
        <v>9532.9</v>
      </c>
      <c r="Y33" s="431">
        <v>20508.29</v>
      </c>
      <c r="AC33" s="668" t="s">
        <v>546</v>
      </c>
      <c r="AD33" s="668" t="s">
        <v>547</v>
      </c>
      <c r="AE33" s="668" t="s">
        <v>548</v>
      </c>
      <c r="AF33" s="668" t="s">
        <v>549</v>
      </c>
      <c r="AG33" s="668" t="s">
        <v>550</v>
      </c>
    </row>
    <row r="34" spans="1:33">
      <c r="A34" s="429" t="s">
        <v>350</v>
      </c>
      <c r="B34" s="428" t="s">
        <v>382</v>
      </c>
      <c r="C34" s="428" t="s">
        <v>35</v>
      </c>
      <c r="D34" s="431">
        <v>8882.5</v>
      </c>
      <c r="E34" s="428">
        <v>79.72</v>
      </c>
      <c r="F34" s="431">
        <v>7081.13</v>
      </c>
      <c r="G34" s="428">
        <v>6.05</v>
      </c>
      <c r="H34" s="428">
        <v>537.62</v>
      </c>
      <c r="I34" s="428">
        <v>0.19</v>
      </c>
      <c r="J34" s="428">
        <v>17.09</v>
      </c>
      <c r="K34" s="428" t="s">
        <v>414</v>
      </c>
      <c r="L34" s="428" t="s">
        <v>414</v>
      </c>
      <c r="M34" s="428" t="s">
        <v>414</v>
      </c>
      <c r="N34" s="428" t="s">
        <v>414</v>
      </c>
      <c r="O34" s="428">
        <v>0.02</v>
      </c>
      <c r="P34" s="428">
        <v>2.02</v>
      </c>
      <c r="Q34" s="428" t="s">
        <v>414</v>
      </c>
      <c r="R34" s="428" t="s">
        <v>414</v>
      </c>
      <c r="S34" s="428">
        <v>2.2000000000000002</v>
      </c>
      <c r="T34" s="428">
        <v>195.17</v>
      </c>
      <c r="U34" s="428">
        <v>7.0000000000000007E-2</v>
      </c>
      <c r="V34" s="428">
        <v>5.8</v>
      </c>
      <c r="W34" s="428">
        <v>88.25</v>
      </c>
      <c r="X34" s="431">
        <v>7838.83</v>
      </c>
      <c r="Y34" s="431">
        <v>16721.330000000002</v>
      </c>
      <c r="AC34" s="668"/>
      <c r="AD34" s="668"/>
      <c r="AE34" s="668"/>
      <c r="AF34" s="668"/>
      <c r="AG34" s="668"/>
    </row>
    <row r="35" spans="1:33">
      <c r="A35" s="429" t="s">
        <v>351</v>
      </c>
      <c r="B35" s="428" t="s">
        <v>383</v>
      </c>
      <c r="C35" s="428" t="s">
        <v>35</v>
      </c>
      <c r="D35" s="431">
        <v>10139.73</v>
      </c>
      <c r="E35" s="428">
        <v>79.72</v>
      </c>
      <c r="F35" s="431">
        <v>8083.39</v>
      </c>
      <c r="G35" s="428">
        <v>5.3</v>
      </c>
      <c r="H35" s="428">
        <v>537.62</v>
      </c>
      <c r="I35" s="428">
        <v>0.17</v>
      </c>
      <c r="J35" s="428">
        <v>17.09</v>
      </c>
      <c r="K35" s="428" t="s">
        <v>414</v>
      </c>
      <c r="L35" s="428" t="s">
        <v>414</v>
      </c>
      <c r="M35" s="428" t="s">
        <v>414</v>
      </c>
      <c r="N35" s="428" t="s">
        <v>414</v>
      </c>
      <c r="O35" s="428">
        <v>0.02</v>
      </c>
      <c r="P35" s="428">
        <v>2.02</v>
      </c>
      <c r="Q35" s="428" t="s">
        <v>414</v>
      </c>
      <c r="R35" s="428" t="s">
        <v>414</v>
      </c>
      <c r="S35" s="428">
        <v>1.92</v>
      </c>
      <c r="T35" s="428">
        <v>195.17</v>
      </c>
      <c r="U35" s="428">
        <v>0.06</v>
      </c>
      <c r="V35" s="428">
        <v>5.8</v>
      </c>
      <c r="W35" s="428">
        <v>87.19</v>
      </c>
      <c r="X35" s="431">
        <v>8841.1</v>
      </c>
      <c r="Y35" s="431">
        <v>18980.830000000002</v>
      </c>
      <c r="AC35" s="669"/>
      <c r="AD35" s="669"/>
      <c r="AE35" s="669"/>
      <c r="AF35" s="669"/>
      <c r="AG35" s="668"/>
    </row>
    <row r="36" spans="1:33" ht="12.75" customHeight="1">
      <c r="A36" s="429" t="s">
        <v>352</v>
      </c>
      <c r="B36" s="428" t="s">
        <v>384</v>
      </c>
      <c r="C36" s="428" t="s">
        <v>35</v>
      </c>
      <c r="D36" s="431">
        <v>13415.83</v>
      </c>
      <c r="E36" s="428">
        <v>79.72</v>
      </c>
      <c r="F36" s="431">
        <v>10695.1</v>
      </c>
      <c r="G36" s="428">
        <v>4.01</v>
      </c>
      <c r="H36" s="428">
        <v>537.62</v>
      </c>
      <c r="I36" s="428">
        <v>0.13</v>
      </c>
      <c r="J36" s="428">
        <v>17.09</v>
      </c>
      <c r="K36" s="428" t="s">
        <v>414</v>
      </c>
      <c r="L36" s="428" t="s">
        <v>414</v>
      </c>
      <c r="M36" s="428" t="s">
        <v>414</v>
      </c>
      <c r="N36" s="428" t="s">
        <v>414</v>
      </c>
      <c r="O36" s="428">
        <v>0.02</v>
      </c>
      <c r="P36" s="428">
        <v>2.02</v>
      </c>
      <c r="Q36" s="428" t="s">
        <v>414</v>
      </c>
      <c r="R36" s="428" t="s">
        <v>414</v>
      </c>
      <c r="S36" s="428">
        <v>1.45</v>
      </c>
      <c r="T36" s="428">
        <v>195.17</v>
      </c>
      <c r="U36" s="428">
        <v>0.04</v>
      </c>
      <c r="V36" s="428">
        <v>5.8</v>
      </c>
      <c r="W36" s="428">
        <v>85.37</v>
      </c>
      <c r="X36" s="431">
        <v>11452.81</v>
      </c>
      <c r="Y36" s="431">
        <v>24868.63</v>
      </c>
      <c r="AC36" s="670" t="s">
        <v>551</v>
      </c>
      <c r="AD36" s="662">
        <v>224.2</v>
      </c>
      <c r="AE36" s="662">
        <v>212.4</v>
      </c>
      <c r="AF36" s="662">
        <v>200.6</v>
      </c>
      <c r="AG36" s="665">
        <v>177</v>
      </c>
    </row>
    <row r="37" spans="1:33">
      <c r="A37" s="429" t="s">
        <v>353</v>
      </c>
      <c r="B37" s="428" t="s">
        <v>385</v>
      </c>
      <c r="C37" s="428" t="s">
        <v>35</v>
      </c>
      <c r="D37" s="431">
        <v>8882.5</v>
      </c>
      <c r="E37" s="428">
        <v>80.180000000000007</v>
      </c>
      <c r="F37" s="431">
        <v>7121.99</v>
      </c>
      <c r="G37" s="428">
        <v>6.05</v>
      </c>
      <c r="H37" s="428">
        <v>537.62</v>
      </c>
      <c r="I37" s="428">
        <v>0.19</v>
      </c>
      <c r="J37" s="428">
        <v>17.09</v>
      </c>
      <c r="K37" s="428" t="s">
        <v>414</v>
      </c>
      <c r="L37" s="428" t="s">
        <v>414</v>
      </c>
      <c r="M37" s="428" t="s">
        <v>414</v>
      </c>
      <c r="N37" s="428" t="s">
        <v>414</v>
      </c>
      <c r="O37" s="428">
        <v>0.03</v>
      </c>
      <c r="P37" s="428">
        <v>2.76</v>
      </c>
      <c r="Q37" s="428" t="s">
        <v>414</v>
      </c>
      <c r="R37" s="428" t="s">
        <v>414</v>
      </c>
      <c r="S37" s="428">
        <v>2.2000000000000002</v>
      </c>
      <c r="T37" s="428">
        <v>195.17</v>
      </c>
      <c r="U37" s="428">
        <v>7.0000000000000007E-2</v>
      </c>
      <c r="V37" s="428">
        <v>5.8</v>
      </c>
      <c r="W37" s="428">
        <v>88.72</v>
      </c>
      <c r="X37" s="431">
        <v>7880.43</v>
      </c>
      <c r="Y37" s="431">
        <v>16762.93</v>
      </c>
      <c r="AC37" s="671"/>
      <c r="AD37" s="663"/>
      <c r="AE37" s="663"/>
      <c r="AF37" s="663"/>
      <c r="AG37" s="660"/>
    </row>
    <row r="38" spans="1:33">
      <c r="A38" s="429" t="s">
        <v>354</v>
      </c>
      <c r="B38" s="428" t="s">
        <v>386</v>
      </c>
      <c r="C38" s="428" t="s">
        <v>35</v>
      </c>
      <c r="D38" s="431">
        <v>9593.39</v>
      </c>
      <c r="E38" s="428">
        <v>80.180000000000007</v>
      </c>
      <c r="F38" s="431">
        <v>7691.98</v>
      </c>
      <c r="G38" s="428">
        <v>5.6</v>
      </c>
      <c r="H38" s="428">
        <v>537.62</v>
      </c>
      <c r="I38" s="428">
        <v>0.18</v>
      </c>
      <c r="J38" s="428">
        <v>17.09</v>
      </c>
      <c r="K38" s="428" t="s">
        <v>414</v>
      </c>
      <c r="L38" s="428" t="s">
        <v>414</v>
      </c>
      <c r="M38" s="428" t="s">
        <v>414</v>
      </c>
      <c r="N38" s="428" t="s">
        <v>414</v>
      </c>
      <c r="O38" s="428">
        <v>0.03</v>
      </c>
      <c r="P38" s="428">
        <v>2.76</v>
      </c>
      <c r="Q38" s="428" t="s">
        <v>414</v>
      </c>
      <c r="R38" s="428" t="s">
        <v>414</v>
      </c>
      <c r="S38" s="428">
        <v>2.0299999999999998</v>
      </c>
      <c r="T38" s="428">
        <v>195.17</v>
      </c>
      <c r="U38" s="428">
        <v>0.06</v>
      </c>
      <c r="V38" s="428">
        <v>5.8</v>
      </c>
      <c r="W38" s="428">
        <v>88.09</v>
      </c>
      <c r="X38" s="431">
        <v>8450.42</v>
      </c>
      <c r="Y38" s="431">
        <v>18043.810000000001</v>
      </c>
      <c r="AC38" s="671"/>
      <c r="AD38" s="663"/>
      <c r="AE38" s="663"/>
      <c r="AF38" s="663"/>
      <c r="AG38" s="660"/>
    </row>
    <row r="39" spans="1:33">
      <c r="A39" s="429" t="s">
        <v>355</v>
      </c>
      <c r="B39" s="428" t="s">
        <v>387</v>
      </c>
      <c r="C39" s="428" t="s">
        <v>35</v>
      </c>
      <c r="D39" s="431">
        <v>11827.32</v>
      </c>
      <c r="E39" s="428">
        <v>80.180000000000007</v>
      </c>
      <c r="F39" s="431">
        <v>9483.15</v>
      </c>
      <c r="G39" s="428">
        <v>4.55</v>
      </c>
      <c r="H39" s="428">
        <v>537.62</v>
      </c>
      <c r="I39" s="428">
        <v>0.14000000000000001</v>
      </c>
      <c r="J39" s="428">
        <v>17.09</v>
      </c>
      <c r="K39" s="428" t="s">
        <v>414</v>
      </c>
      <c r="L39" s="428" t="s">
        <v>414</v>
      </c>
      <c r="M39" s="428" t="s">
        <v>414</v>
      </c>
      <c r="N39" s="428" t="s">
        <v>414</v>
      </c>
      <c r="O39" s="428">
        <v>0.02</v>
      </c>
      <c r="P39" s="428">
        <v>2.76</v>
      </c>
      <c r="Q39" s="428" t="s">
        <v>414</v>
      </c>
      <c r="R39" s="428" t="s">
        <v>414</v>
      </c>
      <c r="S39" s="428">
        <v>1.65</v>
      </c>
      <c r="T39" s="428">
        <v>195.17</v>
      </c>
      <c r="U39" s="428">
        <v>0.05</v>
      </c>
      <c r="V39" s="428">
        <v>5.8</v>
      </c>
      <c r="W39" s="428">
        <v>86.59</v>
      </c>
      <c r="X39" s="431">
        <v>10241.59</v>
      </c>
      <c r="Y39" s="431">
        <v>22068.91</v>
      </c>
      <c r="AC39" s="671"/>
      <c r="AD39" s="663"/>
      <c r="AE39" s="663"/>
      <c r="AF39" s="663"/>
      <c r="AG39" s="660"/>
    </row>
    <row r="40" spans="1:33">
      <c r="A40" s="429" t="s">
        <v>356</v>
      </c>
      <c r="B40" s="428" t="s">
        <v>388</v>
      </c>
      <c r="C40" s="428" t="s">
        <v>35</v>
      </c>
      <c r="D40" s="431">
        <v>18561.82</v>
      </c>
      <c r="E40" s="428">
        <v>80.150000000000006</v>
      </c>
      <c r="F40" s="431">
        <v>14877.3</v>
      </c>
      <c r="G40" s="428">
        <v>2.9</v>
      </c>
      <c r="H40" s="428">
        <v>537.62</v>
      </c>
      <c r="I40" s="428">
        <v>0.08</v>
      </c>
      <c r="J40" s="428">
        <v>15.61</v>
      </c>
      <c r="K40" s="428" t="s">
        <v>414</v>
      </c>
      <c r="L40" s="428" t="s">
        <v>414</v>
      </c>
      <c r="M40" s="428" t="s">
        <v>414</v>
      </c>
      <c r="N40" s="428" t="s">
        <v>414</v>
      </c>
      <c r="O40" s="428">
        <v>0.02</v>
      </c>
      <c r="P40" s="428">
        <v>3.13</v>
      </c>
      <c r="Q40" s="428" t="s">
        <v>414</v>
      </c>
      <c r="R40" s="428" t="s">
        <v>414</v>
      </c>
      <c r="S40" s="428">
        <v>1.05</v>
      </c>
      <c r="T40" s="428">
        <v>195.17</v>
      </c>
      <c r="U40" s="428">
        <v>0.03</v>
      </c>
      <c r="V40" s="428">
        <v>5.8</v>
      </c>
      <c r="W40" s="428">
        <v>84.23</v>
      </c>
      <c r="X40" s="431">
        <v>15634.62</v>
      </c>
      <c r="Y40" s="431">
        <v>34196.44</v>
      </c>
      <c r="AC40" s="671"/>
      <c r="AD40" s="663"/>
      <c r="AE40" s="663"/>
      <c r="AF40" s="663"/>
      <c r="AG40" s="660"/>
    </row>
    <row r="41" spans="1:33">
      <c r="A41" s="429" t="s">
        <v>357</v>
      </c>
      <c r="B41" s="428" t="s">
        <v>389</v>
      </c>
      <c r="C41" s="428" t="s">
        <v>35</v>
      </c>
      <c r="D41" s="431">
        <v>15468.18</v>
      </c>
      <c r="E41" s="428">
        <v>80.150000000000006</v>
      </c>
      <c r="F41" s="431">
        <v>12397.75</v>
      </c>
      <c r="G41" s="428">
        <v>3.48</v>
      </c>
      <c r="H41" s="428">
        <v>537.62</v>
      </c>
      <c r="I41" s="428">
        <v>0.1</v>
      </c>
      <c r="J41" s="428">
        <v>15.61</v>
      </c>
      <c r="K41" s="428" t="s">
        <v>414</v>
      </c>
      <c r="L41" s="428" t="s">
        <v>414</v>
      </c>
      <c r="M41" s="428" t="s">
        <v>414</v>
      </c>
      <c r="N41" s="428" t="s">
        <v>414</v>
      </c>
      <c r="O41" s="428">
        <v>0.02</v>
      </c>
      <c r="P41" s="428">
        <v>3.13</v>
      </c>
      <c r="Q41" s="428" t="s">
        <v>414</v>
      </c>
      <c r="R41" s="428" t="s">
        <v>414</v>
      </c>
      <c r="S41" s="428">
        <v>1.26</v>
      </c>
      <c r="T41" s="428">
        <v>195.17</v>
      </c>
      <c r="U41" s="428">
        <v>0.04</v>
      </c>
      <c r="V41" s="428">
        <v>5.8</v>
      </c>
      <c r="W41" s="428">
        <v>85.05</v>
      </c>
      <c r="X41" s="431">
        <v>13155.07</v>
      </c>
      <c r="Y41" s="431">
        <v>28623.25</v>
      </c>
      <c r="AC41" s="671"/>
      <c r="AD41" s="663"/>
      <c r="AE41" s="663"/>
      <c r="AF41" s="663"/>
      <c r="AG41" s="660"/>
    </row>
    <row r="42" spans="1:33">
      <c r="A42" s="429" t="s">
        <v>358</v>
      </c>
      <c r="B42" s="428" t="s">
        <v>390</v>
      </c>
      <c r="C42" s="428" t="s">
        <v>35</v>
      </c>
      <c r="D42" s="431">
        <v>9127.76</v>
      </c>
      <c r="E42" s="428">
        <v>80.36</v>
      </c>
      <c r="F42" s="431">
        <v>7335.07</v>
      </c>
      <c r="G42" s="428">
        <v>5.89</v>
      </c>
      <c r="H42" s="428">
        <v>537.62</v>
      </c>
      <c r="I42" s="428">
        <v>0.19</v>
      </c>
      <c r="J42" s="428">
        <v>17.09</v>
      </c>
      <c r="K42" s="428" t="s">
        <v>414</v>
      </c>
      <c r="L42" s="428" t="s">
        <v>414</v>
      </c>
      <c r="M42" s="428" t="s">
        <v>414</v>
      </c>
      <c r="N42" s="428" t="s">
        <v>414</v>
      </c>
      <c r="O42" s="428">
        <v>0.03</v>
      </c>
      <c r="P42" s="428">
        <v>2.68</v>
      </c>
      <c r="Q42" s="428" t="s">
        <v>414</v>
      </c>
      <c r="R42" s="428" t="s">
        <v>414</v>
      </c>
      <c r="S42" s="428">
        <v>2.14</v>
      </c>
      <c r="T42" s="428">
        <v>195.17</v>
      </c>
      <c r="U42" s="428">
        <v>0.06</v>
      </c>
      <c r="V42" s="428">
        <v>5.8</v>
      </c>
      <c r="W42" s="428">
        <v>88.67</v>
      </c>
      <c r="X42" s="431">
        <v>8093.43</v>
      </c>
      <c r="Y42" s="431">
        <v>17221.18</v>
      </c>
      <c r="AC42" s="671"/>
      <c r="AD42" s="663"/>
      <c r="AE42" s="663"/>
      <c r="AF42" s="663"/>
      <c r="AG42" s="660"/>
    </row>
    <row r="43" spans="1:33">
      <c r="A43" s="429" t="s">
        <v>359</v>
      </c>
      <c r="B43" s="428" t="s">
        <v>391</v>
      </c>
      <c r="C43" s="428" t="s">
        <v>35</v>
      </c>
      <c r="D43" s="431">
        <v>10633.74</v>
      </c>
      <c r="E43" s="428">
        <v>80.36</v>
      </c>
      <c r="F43" s="431">
        <v>8545.2800000000007</v>
      </c>
      <c r="G43" s="428">
        <v>5.0599999999999996</v>
      </c>
      <c r="H43" s="428">
        <v>537.62</v>
      </c>
      <c r="I43" s="428">
        <v>0.16</v>
      </c>
      <c r="J43" s="428">
        <v>17.09</v>
      </c>
      <c r="K43" s="428" t="s">
        <v>414</v>
      </c>
      <c r="L43" s="428" t="s">
        <v>414</v>
      </c>
      <c r="M43" s="428" t="s">
        <v>414</v>
      </c>
      <c r="N43" s="428" t="s">
        <v>414</v>
      </c>
      <c r="O43" s="428">
        <v>0.03</v>
      </c>
      <c r="P43" s="428">
        <v>2.68</v>
      </c>
      <c r="Q43" s="428" t="s">
        <v>414</v>
      </c>
      <c r="R43" s="428" t="s">
        <v>414</v>
      </c>
      <c r="S43" s="428">
        <v>1.84</v>
      </c>
      <c r="T43" s="428">
        <v>195.17</v>
      </c>
      <c r="U43" s="428">
        <v>0.05</v>
      </c>
      <c r="V43" s="428">
        <v>5.8</v>
      </c>
      <c r="W43" s="428">
        <v>87.49</v>
      </c>
      <c r="X43" s="431">
        <v>9303.64</v>
      </c>
      <c r="Y43" s="431">
        <v>19937.38</v>
      </c>
      <c r="AC43" s="672"/>
      <c r="AD43" s="664"/>
      <c r="AE43" s="664"/>
      <c r="AF43" s="664"/>
      <c r="AG43" s="660"/>
    </row>
    <row r="44" spans="1:33">
      <c r="A44" s="429" t="s">
        <v>360</v>
      </c>
      <c r="B44" s="428" t="s">
        <v>392</v>
      </c>
      <c r="C44" s="428" t="s">
        <v>35</v>
      </c>
      <c r="D44" s="431">
        <v>15784.7</v>
      </c>
      <c r="E44" s="428">
        <v>80.36</v>
      </c>
      <c r="F44" s="431">
        <v>12684.59</v>
      </c>
      <c r="G44" s="428">
        <v>3.41</v>
      </c>
      <c r="H44" s="428">
        <v>537.62</v>
      </c>
      <c r="I44" s="428">
        <v>0.11</v>
      </c>
      <c r="J44" s="428">
        <v>17.09</v>
      </c>
      <c r="K44" s="428" t="s">
        <v>414</v>
      </c>
      <c r="L44" s="428" t="s">
        <v>414</v>
      </c>
      <c r="M44" s="428" t="s">
        <v>414</v>
      </c>
      <c r="N44" s="428" t="s">
        <v>414</v>
      </c>
      <c r="O44" s="428">
        <v>0.02</v>
      </c>
      <c r="P44" s="428">
        <v>2.68</v>
      </c>
      <c r="Q44" s="428" t="s">
        <v>414</v>
      </c>
      <c r="R44" s="428" t="s">
        <v>414</v>
      </c>
      <c r="S44" s="428">
        <v>1.24</v>
      </c>
      <c r="T44" s="428">
        <v>195.17</v>
      </c>
      <c r="U44" s="428">
        <v>0.04</v>
      </c>
      <c r="V44" s="428">
        <v>5.8</v>
      </c>
      <c r="W44" s="428">
        <v>85.16</v>
      </c>
      <c r="X44" s="431">
        <v>13442.95</v>
      </c>
      <c r="Y44" s="431">
        <v>29227.65</v>
      </c>
    </row>
    <row r="45" spans="1:33">
      <c r="A45" s="429" t="s">
        <v>361</v>
      </c>
      <c r="B45" s="428" t="s">
        <v>393</v>
      </c>
      <c r="C45" s="428" t="s">
        <v>35</v>
      </c>
      <c r="D45" s="431">
        <v>8882.5</v>
      </c>
      <c r="E45" s="428">
        <v>80.150000000000006</v>
      </c>
      <c r="F45" s="431">
        <v>7119.32</v>
      </c>
      <c r="G45" s="428">
        <v>6.05</v>
      </c>
      <c r="H45" s="428">
        <v>537.62</v>
      </c>
      <c r="I45" s="428">
        <v>0.19</v>
      </c>
      <c r="J45" s="428">
        <v>17.09</v>
      </c>
      <c r="K45" s="428" t="s">
        <v>414</v>
      </c>
      <c r="L45" s="428" t="s">
        <v>414</v>
      </c>
      <c r="M45" s="428" t="s">
        <v>414</v>
      </c>
      <c r="N45" s="428" t="s">
        <v>414</v>
      </c>
      <c r="O45" s="428">
        <v>0.04</v>
      </c>
      <c r="P45" s="428">
        <v>3.13</v>
      </c>
      <c r="Q45" s="428" t="s">
        <v>414</v>
      </c>
      <c r="R45" s="428" t="s">
        <v>414</v>
      </c>
      <c r="S45" s="428">
        <v>2.2000000000000002</v>
      </c>
      <c r="T45" s="428">
        <v>195.17</v>
      </c>
      <c r="U45" s="428">
        <v>7.0000000000000007E-2</v>
      </c>
      <c r="V45" s="428">
        <v>5.8</v>
      </c>
      <c r="W45" s="428">
        <v>88.69</v>
      </c>
      <c r="X45" s="431">
        <v>7878.13</v>
      </c>
      <c r="Y45" s="431">
        <v>16760.63</v>
      </c>
    </row>
    <row r="46" spans="1:33">
      <c r="A46" s="429" t="s">
        <v>362</v>
      </c>
      <c r="B46" s="428" t="s">
        <v>394</v>
      </c>
      <c r="C46" s="428" t="s">
        <v>35</v>
      </c>
      <c r="D46" s="431">
        <v>10124.530000000001</v>
      </c>
      <c r="E46" s="428">
        <v>80.150000000000006</v>
      </c>
      <c r="F46" s="431">
        <v>8114.81</v>
      </c>
      <c r="G46" s="428">
        <v>5.31</v>
      </c>
      <c r="H46" s="428">
        <v>537.62</v>
      </c>
      <c r="I46" s="428">
        <v>0.17</v>
      </c>
      <c r="J46" s="428">
        <v>17.09</v>
      </c>
      <c r="K46" s="428" t="s">
        <v>414</v>
      </c>
      <c r="L46" s="428" t="s">
        <v>414</v>
      </c>
      <c r="M46" s="428" t="s">
        <v>414</v>
      </c>
      <c r="N46" s="428" t="s">
        <v>414</v>
      </c>
      <c r="O46" s="428">
        <v>0.03</v>
      </c>
      <c r="P46" s="428">
        <v>3.13</v>
      </c>
      <c r="Q46" s="428" t="s">
        <v>414</v>
      </c>
      <c r="R46" s="428" t="s">
        <v>414</v>
      </c>
      <c r="S46" s="428">
        <v>1.93</v>
      </c>
      <c r="T46" s="428">
        <v>195.17</v>
      </c>
      <c r="U46" s="428">
        <v>0.06</v>
      </c>
      <c r="V46" s="428">
        <v>5.8</v>
      </c>
      <c r="W46" s="428">
        <v>87.64</v>
      </c>
      <c r="X46" s="431">
        <v>8873.6200000000008</v>
      </c>
      <c r="Y46" s="431">
        <v>18998.16</v>
      </c>
    </row>
    <row r="47" spans="1:33">
      <c r="A47" s="429" t="s">
        <v>363</v>
      </c>
      <c r="B47" s="428" t="s">
        <v>395</v>
      </c>
      <c r="C47" s="428" t="s">
        <v>35</v>
      </c>
      <c r="D47" s="431">
        <v>13185.61</v>
      </c>
      <c r="E47" s="428">
        <v>80.150000000000006</v>
      </c>
      <c r="F47" s="431">
        <v>10568.27</v>
      </c>
      <c r="G47" s="428">
        <v>4.08</v>
      </c>
      <c r="H47" s="428">
        <v>537.62</v>
      </c>
      <c r="I47" s="428">
        <v>0.13</v>
      </c>
      <c r="J47" s="428">
        <v>17.09</v>
      </c>
      <c r="K47" s="428" t="s">
        <v>414</v>
      </c>
      <c r="L47" s="428" t="s">
        <v>414</v>
      </c>
      <c r="M47" s="428" t="s">
        <v>414</v>
      </c>
      <c r="N47" s="428" t="s">
        <v>414</v>
      </c>
      <c r="O47" s="428">
        <v>0.02</v>
      </c>
      <c r="P47" s="428">
        <v>3.13</v>
      </c>
      <c r="Q47" s="428" t="s">
        <v>414</v>
      </c>
      <c r="R47" s="428" t="s">
        <v>414</v>
      </c>
      <c r="S47" s="428">
        <v>1.48</v>
      </c>
      <c r="T47" s="428">
        <v>195.17</v>
      </c>
      <c r="U47" s="428">
        <v>0.04</v>
      </c>
      <c r="V47" s="428">
        <v>5.8</v>
      </c>
      <c r="W47" s="428">
        <v>85.9</v>
      </c>
      <c r="X47" s="431">
        <v>11327.08</v>
      </c>
      <c r="Y47" s="431">
        <v>24512.69</v>
      </c>
    </row>
    <row r="48" spans="1:33">
      <c r="A48" s="429" t="s">
        <v>364</v>
      </c>
      <c r="B48" s="428" t="s">
        <v>396</v>
      </c>
      <c r="C48" s="428" t="s">
        <v>35</v>
      </c>
      <c r="D48" s="431">
        <v>9127.76</v>
      </c>
      <c r="E48" s="428">
        <v>80.36</v>
      </c>
      <c r="F48" s="431">
        <v>7335.07</v>
      </c>
      <c r="G48" s="428">
        <v>5.89</v>
      </c>
      <c r="H48" s="428">
        <v>537.62</v>
      </c>
      <c r="I48" s="428">
        <v>0.19</v>
      </c>
      <c r="J48" s="428">
        <v>17.09</v>
      </c>
      <c r="K48" s="428" t="s">
        <v>414</v>
      </c>
      <c r="L48" s="428" t="s">
        <v>414</v>
      </c>
      <c r="M48" s="428" t="s">
        <v>414</v>
      </c>
      <c r="N48" s="428" t="s">
        <v>414</v>
      </c>
      <c r="O48" s="428">
        <v>0.03</v>
      </c>
      <c r="P48" s="428">
        <v>2.68</v>
      </c>
      <c r="Q48" s="428" t="s">
        <v>414</v>
      </c>
      <c r="R48" s="428" t="s">
        <v>414</v>
      </c>
      <c r="S48" s="428">
        <v>2.14</v>
      </c>
      <c r="T48" s="428">
        <v>195.17</v>
      </c>
      <c r="U48" s="428">
        <v>0.06</v>
      </c>
      <c r="V48" s="428">
        <v>5.8</v>
      </c>
      <c r="W48" s="428">
        <v>88.67</v>
      </c>
      <c r="X48" s="431">
        <v>8093.43</v>
      </c>
      <c r="Y48" s="431">
        <v>17221.18</v>
      </c>
    </row>
    <row r="49" spans="1:25">
      <c r="A49" s="429" t="s">
        <v>365</v>
      </c>
      <c r="B49" s="428" t="s">
        <v>397</v>
      </c>
      <c r="C49" s="428" t="s">
        <v>35</v>
      </c>
      <c r="D49" s="431">
        <v>10633.74</v>
      </c>
      <c r="E49" s="428">
        <v>80.36</v>
      </c>
      <c r="F49" s="431">
        <v>8545.2800000000007</v>
      </c>
      <c r="G49" s="428">
        <v>5.0599999999999996</v>
      </c>
      <c r="H49" s="428">
        <v>537.62</v>
      </c>
      <c r="I49" s="428">
        <v>0.16</v>
      </c>
      <c r="J49" s="428">
        <v>17.09</v>
      </c>
      <c r="K49" s="428" t="s">
        <v>414</v>
      </c>
      <c r="L49" s="428" t="s">
        <v>414</v>
      </c>
      <c r="M49" s="428" t="s">
        <v>414</v>
      </c>
      <c r="N49" s="428" t="s">
        <v>414</v>
      </c>
      <c r="O49" s="428">
        <v>0.03</v>
      </c>
      <c r="P49" s="428">
        <v>2.68</v>
      </c>
      <c r="Q49" s="428" t="s">
        <v>414</v>
      </c>
      <c r="R49" s="428" t="s">
        <v>414</v>
      </c>
      <c r="S49" s="428">
        <v>1.84</v>
      </c>
      <c r="T49" s="428">
        <v>195.17</v>
      </c>
      <c r="U49" s="428">
        <v>0.05</v>
      </c>
      <c r="V49" s="428">
        <v>5.8</v>
      </c>
      <c r="W49" s="428">
        <v>87.49</v>
      </c>
      <c r="X49" s="431">
        <v>9303.64</v>
      </c>
      <c r="Y49" s="431">
        <v>19937.38</v>
      </c>
    </row>
    <row r="50" spans="1:25">
      <c r="A50" s="429" t="s">
        <v>366</v>
      </c>
      <c r="B50" s="428" t="s">
        <v>398</v>
      </c>
      <c r="C50" s="428" t="s">
        <v>35</v>
      </c>
      <c r="D50" s="431">
        <v>15784.7</v>
      </c>
      <c r="E50" s="428">
        <v>80.36</v>
      </c>
      <c r="F50" s="431">
        <v>12684.59</v>
      </c>
      <c r="G50" s="428">
        <v>3.41</v>
      </c>
      <c r="H50" s="428">
        <v>537.62</v>
      </c>
      <c r="I50" s="428">
        <v>0.11</v>
      </c>
      <c r="J50" s="428">
        <v>17.09</v>
      </c>
      <c r="K50" s="428" t="s">
        <v>414</v>
      </c>
      <c r="L50" s="428" t="s">
        <v>414</v>
      </c>
      <c r="M50" s="428" t="s">
        <v>414</v>
      </c>
      <c r="N50" s="428" t="s">
        <v>414</v>
      </c>
      <c r="O50" s="428">
        <v>0.02</v>
      </c>
      <c r="P50" s="428">
        <v>2.68</v>
      </c>
      <c r="Q50" s="428" t="s">
        <v>414</v>
      </c>
      <c r="R50" s="428" t="s">
        <v>414</v>
      </c>
      <c r="S50" s="428">
        <v>1.24</v>
      </c>
      <c r="T50" s="428">
        <v>195.17</v>
      </c>
      <c r="U50" s="428">
        <v>0.04</v>
      </c>
      <c r="V50" s="428">
        <v>5.8</v>
      </c>
      <c r="W50" s="428">
        <v>85.16</v>
      </c>
      <c r="X50" s="431">
        <v>13442.95</v>
      </c>
      <c r="Y50" s="431">
        <v>29227.65</v>
      </c>
    </row>
    <row r="51" spans="1:25">
      <c r="A51" s="429" t="s">
        <v>367</v>
      </c>
      <c r="B51" s="428" t="s">
        <v>399</v>
      </c>
      <c r="C51" s="428" t="s">
        <v>35</v>
      </c>
      <c r="D51" s="431">
        <v>8882.5</v>
      </c>
      <c r="E51" s="428">
        <v>79.56</v>
      </c>
      <c r="F51" s="431">
        <v>7066.92</v>
      </c>
      <c r="G51" s="428">
        <v>6.05</v>
      </c>
      <c r="H51" s="428">
        <v>537.62</v>
      </c>
      <c r="I51" s="428">
        <v>0.19</v>
      </c>
      <c r="J51" s="428">
        <v>17.09</v>
      </c>
      <c r="K51" s="428" t="s">
        <v>414</v>
      </c>
      <c r="L51" s="428" t="s">
        <v>414</v>
      </c>
      <c r="M51" s="428" t="s">
        <v>414</v>
      </c>
      <c r="N51" s="428" t="s">
        <v>414</v>
      </c>
      <c r="O51" s="428">
        <v>0.04</v>
      </c>
      <c r="P51" s="428">
        <v>3.18</v>
      </c>
      <c r="Q51" s="428" t="s">
        <v>414</v>
      </c>
      <c r="R51" s="428" t="s">
        <v>414</v>
      </c>
      <c r="S51" s="428">
        <v>2.2000000000000002</v>
      </c>
      <c r="T51" s="428">
        <v>195.17</v>
      </c>
      <c r="U51" s="428">
        <v>7.0000000000000007E-2</v>
      </c>
      <c r="V51" s="428">
        <v>5.8</v>
      </c>
      <c r="W51" s="428">
        <v>88.1</v>
      </c>
      <c r="X51" s="431">
        <v>7825.78</v>
      </c>
      <c r="Y51" s="431">
        <v>16708.28</v>
      </c>
    </row>
    <row r="52" spans="1:25">
      <c r="A52" s="429" t="s">
        <v>368</v>
      </c>
      <c r="B52" s="428" t="s">
        <v>400</v>
      </c>
      <c r="C52" s="428" t="s">
        <v>35</v>
      </c>
      <c r="D52" s="431">
        <v>10386.39</v>
      </c>
      <c r="E52" s="428">
        <v>79.56</v>
      </c>
      <c r="F52" s="431">
        <v>8263.41</v>
      </c>
      <c r="G52" s="428">
        <v>5.18</v>
      </c>
      <c r="H52" s="428">
        <v>537.62</v>
      </c>
      <c r="I52" s="428">
        <v>0.16</v>
      </c>
      <c r="J52" s="428">
        <v>17.09</v>
      </c>
      <c r="K52" s="428" t="s">
        <v>414</v>
      </c>
      <c r="L52" s="428" t="s">
        <v>414</v>
      </c>
      <c r="M52" s="428" t="s">
        <v>414</v>
      </c>
      <c r="N52" s="428" t="s">
        <v>414</v>
      </c>
      <c r="O52" s="428">
        <v>0.03</v>
      </c>
      <c r="P52" s="428">
        <v>3.18</v>
      </c>
      <c r="Q52" s="428" t="s">
        <v>414</v>
      </c>
      <c r="R52" s="428" t="s">
        <v>414</v>
      </c>
      <c r="S52" s="428">
        <v>1.88</v>
      </c>
      <c r="T52" s="428">
        <v>195.17</v>
      </c>
      <c r="U52" s="428">
        <v>0.06</v>
      </c>
      <c r="V52" s="428">
        <v>5.8</v>
      </c>
      <c r="W52" s="428">
        <v>86.87</v>
      </c>
      <c r="X52" s="431">
        <v>9022.2800000000007</v>
      </c>
      <c r="Y52" s="431">
        <v>19408.66</v>
      </c>
    </row>
    <row r="53" spans="1:25">
      <c r="A53" s="429" t="s">
        <v>369</v>
      </c>
      <c r="B53" s="428" t="s">
        <v>401</v>
      </c>
      <c r="C53" s="428" t="s">
        <v>35</v>
      </c>
      <c r="D53" s="431">
        <v>13842.26</v>
      </c>
      <c r="E53" s="428">
        <v>79.56</v>
      </c>
      <c r="F53" s="431">
        <v>11012.9</v>
      </c>
      <c r="G53" s="428">
        <v>3.88</v>
      </c>
      <c r="H53" s="428">
        <v>537.62</v>
      </c>
      <c r="I53" s="428">
        <v>0.12</v>
      </c>
      <c r="J53" s="428">
        <v>17.09</v>
      </c>
      <c r="K53" s="428" t="s">
        <v>414</v>
      </c>
      <c r="L53" s="428" t="s">
        <v>414</v>
      </c>
      <c r="M53" s="428" t="s">
        <v>414</v>
      </c>
      <c r="N53" s="427" t="s">
        <v>414</v>
      </c>
      <c r="O53" s="428">
        <v>0.02</v>
      </c>
      <c r="P53" s="428">
        <v>3.18</v>
      </c>
      <c r="Q53" s="428" t="s">
        <v>414</v>
      </c>
      <c r="R53" s="428" t="s">
        <v>414</v>
      </c>
      <c r="S53" s="428">
        <v>1.41</v>
      </c>
      <c r="T53" s="428">
        <v>195.17</v>
      </c>
      <c r="U53" s="428">
        <v>0.04</v>
      </c>
      <c r="V53" s="428">
        <v>5.8</v>
      </c>
      <c r="W53" s="428">
        <v>85.04</v>
      </c>
      <c r="X53" s="431">
        <v>11771.77</v>
      </c>
      <c r="Y53" s="431">
        <v>25614.02</v>
      </c>
    </row>
    <row r="54" spans="1:25">
      <c r="A54" s="429" t="s">
        <v>370</v>
      </c>
      <c r="B54" s="428" t="s">
        <v>402</v>
      </c>
      <c r="C54" s="428" t="s">
        <v>35</v>
      </c>
      <c r="D54" s="431">
        <v>3212.59</v>
      </c>
      <c r="E54" s="428">
        <v>80.989999999999995</v>
      </c>
      <c r="F54" s="431">
        <v>2601.87</v>
      </c>
      <c r="G54" s="428">
        <v>16.73</v>
      </c>
      <c r="H54" s="428">
        <v>537.62</v>
      </c>
      <c r="I54" s="428">
        <v>0.53</v>
      </c>
      <c r="J54" s="428">
        <v>17.09</v>
      </c>
      <c r="K54" s="428" t="s">
        <v>414</v>
      </c>
      <c r="L54" s="428" t="s">
        <v>414</v>
      </c>
      <c r="M54" s="428">
        <v>0.82</v>
      </c>
      <c r="N54" s="428">
        <v>26.28</v>
      </c>
      <c r="O54" s="428">
        <v>0.11</v>
      </c>
      <c r="P54" s="428">
        <v>3.68</v>
      </c>
      <c r="Q54" s="428" t="s">
        <v>414</v>
      </c>
      <c r="R54" s="428" t="s">
        <v>414</v>
      </c>
      <c r="S54" s="428">
        <v>6.08</v>
      </c>
      <c r="T54" s="428">
        <v>195.17</v>
      </c>
      <c r="U54" s="428">
        <v>0.18</v>
      </c>
      <c r="V54" s="428">
        <v>5.8</v>
      </c>
      <c r="W54" s="428">
        <v>105.45</v>
      </c>
      <c r="X54" s="431">
        <v>3387.51</v>
      </c>
      <c r="Y54" s="431">
        <v>6600.1</v>
      </c>
    </row>
    <row r="55" spans="1:25">
      <c r="A55" s="429" t="s">
        <v>371</v>
      </c>
      <c r="B55" s="428" t="s">
        <v>403</v>
      </c>
      <c r="C55" s="428" t="s">
        <v>35</v>
      </c>
      <c r="D55" s="431">
        <v>4283.45</v>
      </c>
      <c r="E55" s="428">
        <v>80.989999999999995</v>
      </c>
      <c r="F55" s="431">
        <v>3469.17</v>
      </c>
      <c r="G55" s="428">
        <v>12.55</v>
      </c>
      <c r="H55" s="428">
        <v>537.62</v>
      </c>
      <c r="I55" s="428">
        <v>0.4</v>
      </c>
      <c r="J55" s="428">
        <v>17.09</v>
      </c>
      <c r="K55" s="428" t="s">
        <v>414</v>
      </c>
      <c r="L55" s="428" t="s">
        <v>414</v>
      </c>
      <c r="M55" s="428" t="s">
        <v>414</v>
      </c>
      <c r="N55" s="428" t="s">
        <v>414</v>
      </c>
      <c r="O55" s="428">
        <v>0.09</v>
      </c>
      <c r="P55" s="428">
        <v>3.68</v>
      </c>
      <c r="Q55" s="428" t="s">
        <v>414</v>
      </c>
      <c r="R55" s="428" t="s">
        <v>414</v>
      </c>
      <c r="S55" s="428">
        <v>4.5599999999999996</v>
      </c>
      <c r="T55" s="428">
        <v>195.17</v>
      </c>
      <c r="U55" s="428">
        <v>0.14000000000000001</v>
      </c>
      <c r="V55" s="428">
        <v>5.8</v>
      </c>
      <c r="W55" s="428">
        <v>98.72</v>
      </c>
      <c r="X55" s="431">
        <v>4228.53</v>
      </c>
      <c r="Y55" s="431">
        <v>8511.98</v>
      </c>
    </row>
    <row r="56" spans="1:25">
      <c r="A56" s="429" t="s">
        <v>372</v>
      </c>
      <c r="B56" s="428" t="s">
        <v>404</v>
      </c>
      <c r="C56" s="428" t="s">
        <v>35</v>
      </c>
      <c r="D56" s="431">
        <v>7749.53</v>
      </c>
      <c r="E56" s="428">
        <v>80.989999999999995</v>
      </c>
      <c r="F56" s="431">
        <v>6276.34</v>
      </c>
      <c r="G56" s="428">
        <v>6.94</v>
      </c>
      <c r="H56" s="428">
        <v>537.62</v>
      </c>
      <c r="I56" s="428">
        <v>0.22</v>
      </c>
      <c r="J56" s="428">
        <v>17.09</v>
      </c>
      <c r="K56" s="428" t="s">
        <v>414</v>
      </c>
      <c r="L56" s="428" t="s">
        <v>414</v>
      </c>
      <c r="M56" s="428" t="s">
        <v>414</v>
      </c>
      <c r="N56" s="428" t="s">
        <v>414</v>
      </c>
      <c r="O56" s="428">
        <v>0.05</v>
      </c>
      <c r="P56" s="428">
        <v>3.68</v>
      </c>
      <c r="Q56" s="428" t="s">
        <v>414</v>
      </c>
      <c r="R56" s="428" t="s">
        <v>414</v>
      </c>
      <c r="S56" s="428">
        <v>2.52</v>
      </c>
      <c r="T56" s="428">
        <v>195.17</v>
      </c>
      <c r="U56" s="428">
        <v>7.0000000000000007E-2</v>
      </c>
      <c r="V56" s="428">
        <v>5.8</v>
      </c>
      <c r="W56" s="428">
        <v>90.79</v>
      </c>
      <c r="X56" s="431">
        <v>7035.7</v>
      </c>
      <c r="Y56" s="431">
        <v>14785.23</v>
      </c>
    </row>
    <row r="57" spans="1:25">
      <c r="A57" s="429" t="s">
        <v>373</v>
      </c>
      <c r="B57" s="428" t="s">
        <v>405</v>
      </c>
      <c r="C57" s="428" t="s">
        <v>35</v>
      </c>
      <c r="D57" s="431">
        <v>2639.29</v>
      </c>
      <c r="E57" s="428">
        <v>80.03</v>
      </c>
      <c r="F57" s="431">
        <v>2112.2199999999998</v>
      </c>
      <c r="G57" s="428">
        <v>20.37</v>
      </c>
      <c r="H57" s="428">
        <v>537.62</v>
      </c>
      <c r="I57" s="428">
        <v>0.65</v>
      </c>
      <c r="J57" s="428">
        <v>17.09</v>
      </c>
      <c r="K57" s="428" t="s">
        <v>414</v>
      </c>
      <c r="L57" s="428" t="s">
        <v>414</v>
      </c>
      <c r="M57" s="428">
        <v>2.2999999999999998</v>
      </c>
      <c r="N57" s="428">
        <v>60.67</v>
      </c>
      <c r="O57" s="428">
        <v>0.1</v>
      </c>
      <c r="P57" s="428">
        <v>2.74</v>
      </c>
      <c r="Q57" s="428" t="s">
        <v>414</v>
      </c>
      <c r="R57" s="428" t="s">
        <v>414</v>
      </c>
      <c r="S57" s="428">
        <v>7.39</v>
      </c>
      <c r="T57" s="428">
        <v>195.17</v>
      </c>
      <c r="U57" s="428">
        <v>0.22</v>
      </c>
      <c r="V57" s="428">
        <v>5.8</v>
      </c>
      <c r="W57" s="428">
        <v>111.06</v>
      </c>
      <c r="X57" s="431">
        <v>2931.32</v>
      </c>
      <c r="Y57" s="431">
        <v>5570.61</v>
      </c>
    </row>
    <row r="58" spans="1:25">
      <c r="A58" s="429" t="s">
        <v>374</v>
      </c>
      <c r="B58" s="428" t="s">
        <v>406</v>
      </c>
      <c r="C58" s="428" t="s">
        <v>35</v>
      </c>
      <c r="D58" s="431">
        <v>3519.05</v>
      </c>
      <c r="E58" s="428">
        <v>80.03</v>
      </c>
      <c r="F58" s="431">
        <v>2816.29</v>
      </c>
      <c r="G58" s="428">
        <v>15.28</v>
      </c>
      <c r="H58" s="428">
        <v>537.62</v>
      </c>
      <c r="I58" s="428">
        <v>0.49</v>
      </c>
      <c r="J58" s="428">
        <v>17.09</v>
      </c>
      <c r="K58" s="428" t="s">
        <v>414</v>
      </c>
      <c r="L58" s="428" t="s">
        <v>414</v>
      </c>
      <c r="M58" s="428">
        <v>0.22</v>
      </c>
      <c r="N58" s="428">
        <v>7.89</v>
      </c>
      <c r="O58" s="428">
        <v>0.08</v>
      </c>
      <c r="P58" s="428">
        <v>2.74</v>
      </c>
      <c r="Q58" s="428" t="s">
        <v>414</v>
      </c>
      <c r="R58" s="428" t="s">
        <v>414</v>
      </c>
      <c r="S58" s="428">
        <v>5.55</v>
      </c>
      <c r="T58" s="428">
        <v>195.17</v>
      </c>
      <c r="U58" s="428">
        <v>0.16</v>
      </c>
      <c r="V58" s="428">
        <v>5.8</v>
      </c>
      <c r="W58" s="428">
        <v>101.81</v>
      </c>
      <c r="X58" s="431">
        <v>3582.61</v>
      </c>
      <c r="Y58" s="431">
        <v>7101.65</v>
      </c>
    </row>
    <row r="59" spans="1:25">
      <c r="A59" s="429" t="s">
        <v>375</v>
      </c>
      <c r="B59" s="428" t="s">
        <v>407</v>
      </c>
      <c r="C59" s="428" t="s">
        <v>35</v>
      </c>
      <c r="D59" s="431">
        <v>7082.22</v>
      </c>
      <c r="E59" s="428">
        <v>80.03</v>
      </c>
      <c r="F59" s="431">
        <v>5667.9</v>
      </c>
      <c r="G59" s="428">
        <v>7.59</v>
      </c>
      <c r="H59" s="428">
        <v>537.62</v>
      </c>
      <c r="I59" s="428">
        <v>0.24</v>
      </c>
      <c r="J59" s="428">
        <v>17.09</v>
      </c>
      <c r="K59" s="428" t="s">
        <v>414</v>
      </c>
      <c r="L59" s="428" t="s">
        <v>414</v>
      </c>
      <c r="M59" s="428" t="s">
        <v>414</v>
      </c>
      <c r="N59" s="428" t="s">
        <v>414</v>
      </c>
      <c r="O59" s="428">
        <v>0.04</v>
      </c>
      <c r="P59" s="428">
        <v>2.74</v>
      </c>
      <c r="Q59" s="428" t="s">
        <v>414</v>
      </c>
      <c r="R59" s="428" t="s">
        <v>414</v>
      </c>
      <c r="S59" s="428">
        <v>2.76</v>
      </c>
      <c r="T59" s="428">
        <v>195.17</v>
      </c>
      <c r="U59" s="428">
        <v>0.08</v>
      </c>
      <c r="V59" s="428">
        <v>5.8</v>
      </c>
      <c r="W59" s="428">
        <v>90.74</v>
      </c>
      <c r="X59" s="431">
        <v>6426.33</v>
      </c>
      <c r="Y59" s="431">
        <v>13508.54</v>
      </c>
    </row>
    <row r="60" spans="1:25">
      <c r="A60" s="429" t="s">
        <v>376</v>
      </c>
      <c r="B60" s="428" t="s">
        <v>408</v>
      </c>
      <c r="C60" s="428" t="s">
        <v>35</v>
      </c>
      <c r="D60" s="431">
        <v>1832.09</v>
      </c>
      <c r="E60" s="428">
        <v>76.59</v>
      </c>
      <c r="F60" s="431">
        <v>1403.2</v>
      </c>
      <c r="G60" s="428">
        <v>29.34</v>
      </c>
      <c r="H60" s="428">
        <v>537.62</v>
      </c>
      <c r="I60" s="428">
        <v>1.05</v>
      </c>
      <c r="J60" s="428">
        <v>19.16</v>
      </c>
      <c r="K60" s="428" t="s">
        <v>414</v>
      </c>
      <c r="L60" s="428" t="s">
        <v>414</v>
      </c>
      <c r="M60" s="428">
        <v>5.96</v>
      </c>
      <c r="N60" s="428">
        <v>109.11</v>
      </c>
      <c r="O60" s="428">
        <v>0.24</v>
      </c>
      <c r="P60" s="428">
        <v>4.3099999999999996</v>
      </c>
      <c r="Q60" s="428" t="s">
        <v>414</v>
      </c>
      <c r="R60" s="428" t="s">
        <v>414</v>
      </c>
      <c r="S60" s="428">
        <v>10.65</v>
      </c>
      <c r="T60" s="428">
        <v>195.17</v>
      </c>
      <c r="U60" s="428">
        <v>0.32</v>
      </c>
      <c r="V60" s="428">
        <v>5.8</v>
      </c>
      <c r="W60" s="428">
        <v>124.14</v>
      </c>
      <c r="X60" s="431">
        <v>2274.37</v>
      </c>
      <c r="Y60" s="431">
        <v>4106.46</v>
      </c>
    </row>
    <row r="61" spans="1:25">
      <c r="A61" s="429" t="s">
        <v>377</v>
      </c>
      <c r="B61" s="428" t="s">
        <v>409</v>
      </c>
      <c r="C61" s="428" t="s">
        <v>35</v>
      </c>
      <c r="D61" s="431">
        <v>8882.5</v>
      </c>
      <c r="E61" s="428">
        <v>79.33</v>
      </c>
      <c r="F61" s="431">
        <v>7046.49</v>
      </c>
      <c r="G61" s="428">
        <v>6.05</v>
      </c>
      <c r="H61" s="428">
        <v>537.62</v>
      </c>
      <c r="I61" s="428">
        <v>0.19</v>
      </c>
      <c r="J61" s="428">
        <v>17.09</v>
      </c>
      <c r="K61" s="428" t="s">
        <v>414</v>
      </c>
      <c r="L61" s="428" t="s">
        <v>414</v>
      </c>
      <c r="M61" s="428" t="s">
        <v>414</v>
      </c>
      <c r="N61" s="428" t="s">
        <v>414</v>
      </c>
      <c r="O61" s="428">
        <v>0.02</v>
      </c>
      <c r="P61" s="428">
        <v>2.0099999999999998</v>
      </c>
      <c r="Q61" s="428" t="s">
        <v>414</v>
      </c>
      <c r="R61" s="428" t="s">
        <v>414</v>
      </c>
      <c r="S61" s="428">
        <v>2.2000000000000002</v>
      </c>
      <c r="T61" s="428">
        <v>195.17</v>
      </c>
      <c r="U61" s="428">
        <v>7.0000000000000007E-2</v>
      </c>
      <c r="V61" s="428">
        <v>5.8</v>
      </c>
      <c r="W61" s="428">
        <v>87.86</v>
      </c>
      <c r="X61" s="431">
        <v>7804.18</v>
      </c>
      <c r="Y61" s="431">
        <v>16686.68</v>
      </c>
    </row>
    <row r="62" spans="1:25">
      <c r="A62" s="429" t="s">
        <v>378</v>
      </c>
      <c r="B62" s="428" t="s">
        <v>410</v>
      </c>
      <c r="C62" s="428" t="s">
        <v>35</v>
      </c>
      <c r="D62" s="431">
        <v>3776.85</v>
      </c>
      <c r="E62" s="428">
        <v>79.739999999999995</v>
      </c>
      <c r="F62" s="431">
        <v>3011.66</v>
      </c>
      <c r="G62" s="428">
        <v>14.23</v>
      </c>
      <c r="H62" s="428">
        <v>537.62</v>
      </c>
      <c r="I62" s="428">
        <v>0.45</v>
      </c>
      <c r="J62" s="428">
        <v>17.09</v>
      </c>
      <c r="K62" s="428" t="s">
        <v>414</v>
      </c>
      <c r="L62" s="428" t="s">
        <v>414</v>
      </c>
      <c r="M62" s="428" t="s">
        <v>414</v>
      </c>
      <c r="N62" s="428" t="s">
        <v>414</v>
      </c>
      <c r="O62" s="428">
        <v>0.06</v>
      </c>
      <c r="P62" s="428">
        <v>2.2999999999999998</v>
      </c>
      <c r="Q62" s="428" t="s">
        <v>414</v>
      </c>
      <c r="R62" s="428" t="s">
        <v>414</v>
      </c>
      <c r="S62" s="428">
        <v>5.17</v>
      </c>
      <c r="T62" s="428">
        <v>195.17</v>
      </c>
      <c r="U62" s="428">
        <v>0.15</v>
      </c>
      <c r="V62" s="428">
        <v>5.8</v>
      </c>
      <c r="W62" s="428">
        <v>99.81</v>
      </c>
      <c r="X62" s="431">
        <v>3769.65</v>
      </c>
      <c r="Y62" s="431">
        <v>7546.5</v>
      </c>
    </row>
    <row r="63" spans="1:25">
      <c r="A63" s="429" t="s">
        <v>379</v>
      </c>
      <c r="B63" s="428" t="s">
        <v>411</v>
      </c>
      <c r="C63" s="428" t="s">
        <v>35</v>
      </c>
      <c r="D63" s="431">
        <v>5035.8</v>
      </c>
      <c r="E63" s="428">
        <v>79.739999999999995</v>
      </c>
      <c r="F63" s="431">
        <v>4015.55</v>
      </c>
      <c r="G63" s="428">
        <v>10.68</v>
      </c>
      <c r="H63" s="428">
        <v>537.62</v>
      </c>
      <c r="I63" s="428">
        <v>0.34</v>
      </c>
      <c r="J63" s="428">
        <v>17.09</v>
      </c>
      <c r="K63" s="428" t="s">
        <v>414</v>
      </c>
      <c r="L63" s="428" t="s">
        <v>414</v>
      </c>
      <c r="M63" s="428" t="s">
        <v>414</v>
      </c>
      <c r="N63" s="428" t="s">
        <v>414</v>
      </c>
      <c r="O63" s="428">
        <v>0.05</v>
      </c>
      <c r="P63" s="428">
        <v>2.2999999999999998</v>
      </c>
      <c r="Q63" s="428" t="s">
        <v>414</v>
      </c>
      <c r="R63" s="428" t="s">
        <v>414</v>
      </c>
      <c r="S63" s="428">
        <v>3.88</v>
      </c>
      <c r="T63" s="428">
        <v>195.17</v>
      </c>
      <c r="U63" s="428">
        <v>0.12</v>
      </c>
      <c r="V63" s="428">
        <v>5.8</v>
      </c>
      <c r="W63" s="428">
        <v>94.79</v>
      </c>
      <c r="X63" s="431">
        <v>4773.53</v>
      </c>
      <c r="Y63" s="431">
        <v>9809.33</v>
      </c>
    </row>
    <row r="64" spans="1:25">
      <c r="A64" s="429" t="s">
        <v>380</v>
      </c>
      <c r="B64" s="428" t="s">
        <v>412</v>
      </c>
      <c r="C64" s="428" t="s">
        <v>35</v>
      </c>
      <c r="D64" s="431">
        <v>8917.58</v>
      </c>
      <c r="E64" s="428">
        <v>79.739999999999995</v>
      </c>
      <c r="F64" s="431">
        <v>7110.88</v>
      </c>
      <c r="G64" s="428">
        <v>6.03</v>
      </c>
      <c r="H64" s="428">
        <v>537.62</v>
      </c>
      <c r="I64" s="428">
        <v>0.19</v>
      </c>
      <c r="J64" s="428">
        <v>17.09</v>
      </c>
      <c r="K64" s="428" t="s">
        <v>414</v>
      </c>
      <c r="L64" s="428" t="s">
        <v>414</v>
      </c>
      <c r="M64" s="428" t="s">
        <v>414</v>
      </c>
      <c r="N64" s="427" t="s">
        <v>414</v>
      </c>
      <c r="O64" s="428">
        <v>0.03</v>
      </c>
      <c r="P64" s="428">
        <v>2.2999999999999998</v>
      </c>
      <c r="Q64" s="428" t="s">
        <v>414</v>
      </c>
      <c r="R64" s="428" t="s">
        <v>414</v>
      </c>
      <c r="S64" s="428">
        <v>2.19</v>
      </c>
      <c r="T64" s="428">
        <v>195.17</v>
      </c>
      <c r="U64" s="428">
        <v>7.0000000000000007E-2</v>
      </c>
      <c r="V64" s="428">
        <v>5.8</v>
      </c>
      <c r="W64" s="428">
        <v>88.24</v>
      </c>
      <c r="X64" s="431">
        <v>7868.86</v>
      </c>
      <c r="Y64" s="431">
        <v>16786.439999999999</v>
      </c>
    </row>
    <row r="65" spans="1:25">
      <c r="A65" s="429" t="s">
        <v>473</v>
      </c>
      <c r="B65" s="428" t="s">
        <v>492</v>
      </c>
      <c r="C65" s="428" t="s">
        <v>35</v>
      </c>
      <c r="D65" s="431">
        <v>1819.16</v>
      </c>
      <c r="E65" s="428">
        <v>78.069999999999993</v>
      </c>
      <c r="F65" s="431">
        <v>1420.21</v>
      </c>
      <c r="G65" s="428">
        <v>29.55</v>
      </c>
      <c r="H65" s="428">
        <v>537.62</v>
      </c>
      <c r="I65" s="428">
        <v>1.1399999999999999</v>
      </c>
      <c r="J65" s="428">
        <v>20.8</v>
      </c>
      <c r="K65" s="428" t="s">
        <v>414</v>
      </c>
      <c r="L65" s="428" t="s">
        <v>414</v>
      </c>
      <c r="M65" s="428">
        <v>6.04</v>
      </c>
      <c r="N65" s="428">
        <v>109.88</v>
      </c>
      <c r="O65" s="428">
        <v>0.26</v>
      </c>
      <c r="P65" s="428">
        <v>4.8099999999999996</v>
      </c>
      <c r="Q65" s="428" t="s">
        <v>414</v>
      </c>
      <c r="R65" s="428" t="s">
        <v>414</v>
      </c>
      <c r="S65" s="428">
        <v>10.73</v>
      </c>
      <c r="T65" s="428">
        <v>195.17</v>
      </c>
      <c r="U65" s="428">
        <v>0.32</v>
      </c>
      <c r="V65" s="428">
        <v>5.8</v>
      </c>
      <c r="W65" s="428">
        <v>126.12</v>
      </c>
      <c r="X65" s="431">
        <v>2294.31</v>
      </c>
      <c r="Y65" s="431">
        <v>4113.46</v>
      </c>
    </row>
    <row r="66" spans="1:25">
      <c r="A66" s="429" t="s">
        <v>474</v>
      </c>
      <c r="B66" s="428" t="s">
        <v>493</v>
      </c>
      <c r="C66" s="428" t="s">
        <v>35</v>
      </c>
      <c r="D66" s="431">
        <v>1676.06</v>
      </c>
      <c r="E66" s="428">
        <v>77.19</v>
      </c>
      <c r="F66" s="431">
        <v>1293.75</v>
      </c>
      <c r="G66" s="428">
        <v>32.08</v>
      </c>
      <c r="H66" s="428">
        <v>537.62</v>
      </c>
      <c r="I66" s="428">
        <v>1.24</v>
      </c>
      <c r="J66" s="428">
        <v>20.8</v>
      </c>
      <c r="K66" s="428" t="s">
        <v>414</v>
      </c>
      <c r="L66" s="428" t="s">
        <v>414</v>
      </c>
      <c r="M66" s="428">
        <v>7.07</v>
      </c>
      <c r="N66" s="428">
        <v>118.47</v>
      </c>
      <c r="O66" s="428">
        <v>0.23</v>
      </c>
      <c r="P66" s="428">
        <v>3.85</v>
      </c>
      <c r="Q66" s="428" t="s">
        <v>414</v>
      </c>
      <c r="R66" s="428" t="s">
        <v>414</v>
      </c>
      <c r="S66" s="428">
        <v>11.64</v>
      </c>
      <c r="T66" s="428">
        <v>195.17</v>
      </c>
      <c r="U66" s="428">
        <v>0.35</v>
      </c>
      <c r="V66" s="428">
        <v>5.8</v>
      </c>
      <c r="W66" s="428">
        <v>129.80000000000001</v>
      </c>
      <c r="X66" s="431">
        <v>2175.46</v>
      </c>
      <c r="Y66" s="431">
        <v>3851.52</v>
      </c>
    </row>
    <row r="67" spans="1:25">
      <c r="A67" s="429" t="s">
        <v>475</v>
      </c>
      <c r="B67" s="428" t="s">
        <v>494</v>
      </c>
      <c r="C67" s="428" t="s">
        <v>35</v>
      </c>
      <c r="D67" s="431">
        <v>3416.43</v>
      </c>
      <c r="E67" s="428">
        <v>80.48</v>
      </c>
      <c r="F67" s="431">
        <v>2749.54</v>
      </c>
      <c r="G67" s="428">
        <v>15.74</v>
      </c>
      <c r="H67" s="428">
        <v>537.62</v>
      </c>
      <c r="I67" s="428">
        <v>0.5</v>
      </c>
      <c r="J67" s="428">
        <v>17.09</v>
      </c>
      <c r="K67" s="428" t="s">
        <v>414</v>
      </c>
      <c r="L67" s="428" t="s">
        <v>414</v>
      </c>
      <c r="M67" s="428">
        <v>0.41</v>
      </c>
      <c r="N67" s="428">
        <v>14.05</v>
      </c>
      <c r="O67" s="428">
        <v>0.11</v>
      </c>
      <c r="P67" s="428">
        <v>3.85</v>
      </c>
      <c r="Q67" s="428" t="s">
        <v>414</v>
      </c>
      <c r="R67" s="428" t="s">
        <v>414</v>
      </c>
      <c r="S67" s="428">
        <v>5.71</v>
      </c>
      <c r="T67" s="428">
        <v>195.17</v>
      </c>
      <c r="U67" s="428">
        <v>0.17</v>
      </c>
      <c r="V67" s="428">
        <v>5.8</v>
      </c>
      <c r="W67" s="428">
        <v>103.12</v>
      </c>
      <c r="X67" s="431">
        <v>3523.12</v>
      </c>
      <c r="Y67" s="431">
        <v>6939.55</v>
      </c>
    </row>
    <row r="68" spans="1:25">
      <c r="A68" s="429" t="s">
        <v>476</v>
      </c>
      <c r="B68" s="428" t="s">
        <v>495</v>
      </c>
      <c r="C68" s="428" t="s">
        <v>35</v>
      </c>
      <c r="D68" s="431">
        <v>4555.24</v>
      </c>
      <c r="E68" s="428">
        <v>80.48</v>
      </c>
      <c r="F68" s="431">
        <v>3666.06</v>
      </c>
      <c r="G68" s="428">
        <v>11.8</v>
      </c>
      <c r="H68" s="428">
        <v>537.62</v>
      </c>
      <c r="I68" s="428">
        <v>0.38</v>
      </c>
      <c r="J68" s="428">
        <v>17.09</v>
      </c>
      <c r="K68" s="428" t="s">
        <v>414</v>
      </c>
      <c r="L68" s="428" t="s">
        <v>414</v>
      </c>
      <c r="M68" s="428" t="s">
        <v>414</v>
      </c>
      <c r="N68" s="428" t="s">
        <v>414</v>
      </c>
      <c r="O68" s="428">
        <v>0.08</v>
      </c>
      <c r="P68" s="428">
        <v>3.85</v>
      </c>
      <c r="Q68" s="428" t="s">
        <v>414</v>
      </c>
      <c r="R68" s="428" t="s">
        <v>414</v>
      </c>
      <c r="S68" s="428">
        <v>4.28</v>
      </c>
      <c r="T68" s="428">
        <v>195.17</v>
      </c>
      <c r="U68" s="428">
        <v>0.13</v>
      </c>
      <c r="V68" s="428">
        <v>5.8</v>
      </c>
      <c r="W68" s="428">
        <v>97.15</v>
      </c>
      <c r="X68" s="431">
        <v>4425.58</v>
      </c>
      <c r="Y68" s="431">
        <v>8980.82</v>
      </c>
    </row>
    <row r="69" spans="1:25">
      <c r="A69" s="429" t="s">
        <v>477</v>
      </c>
      <c r="B69" s="428" t="s">
        <v>496</v>
      </c>
      <c r="C69" s="428" t="s">
        <v>35</v>
      </c>
      <c r="D69" s="431">
        <v>6816.78</v>
      </c>
      <c r="E69" s="428">
        <v>80.48</v>
      </c>
      <c r="F69" s="431">
        <v>5486.14</v>
      </c>
      <c r="G69" s="428">
        <v>7.89</v>
      </c>
      <c r="H69" s="428">
        <v>537.62</v>
      </c>
      <c r="I69" s="428">
        <v>0.25</v>
      </c>
      <c r="J69" s="428">
        <v>17.09</v>
      </c>
      <c r="K69" s="428" t="s">
        <v>414</v>
      </c>
      <c r="L69" s="428" t="s">
        <v>414</v>
      </c>
      <c r="M69" s="428" t="s">
        <v>414</v>
      </c>
      <c r="N69" s="428" t="s">
        <v>414</v>
      </c>
      <c r="O69" s="428">
        <v>0.06</v>
      </c>
      <c r="P69" s="428">
        <v>3.85</v>
      </c>
      <c r="Q69" s="428" t="s">
        <v>414</v>
      </c>
      <c r="R69" s="428" t="s">
        <v>414</v>
      </c>
      <c r="S69" s="428">
        <v>2.86</v>
      </c>
      <c r="T69" s="428">
        <v>195.17</v>
      </c>
      <c r="U69" s="428">
        <v>0.09</v>
      </c>
      <c r="V69" s="428">
        <v>5.8</v>
      </c>
      <c r="W69" s="428">
        <v>91.62</v>
      </c>
      <c r="X69" s="431">
        <v>6245.67</v>
      </c>
      <c r="Y69" s="431">
        <v>13062.45</v>
      </c>
    </row>
    <row r="70" spans="1:25">
      <c r="A70" s="429" t="s">
        <v>478</v>
      </c>
      <c r="B70" s="427" t="s">
        <v>569</v>
      </c>
      <c r="C70" s="428" t="s">
        <v>35</v>
      </c>
      <c r="D70" s="431">
        <v>2982.87</v>
      </c>
      <c r="E70" s="428">
        <v>81.3</v>
      </c>
      <c r="F70" s="431">
        <v>2425.0700000000002</v>
      </c>
      <c r="G70" s="428">
        <v>18.02</v>
      </c>
      <c r="H70" s="428">
        <v>537.62</v>
      </c>
      <c r="I70" s="428">
        <v>0.56999999999999995</v>
      </c>
      <c r="J70" s="428">
        <v>17.09</v>
      </c>
      <c r="K70" s="428" t="s">
        <v>414</v>
      </c>
      <c r="L70" s="428" t="s">
        <v>414</v>
      </c>
      <c r="M70" s="428">
        <v>1.34</v>
      </c>
      <c r="N70" s="428">
        <v>40.06</v>
      </c>
      <c r="O70" s="428">
        <v>0.18</v>
      </c>
      <c r="P70" s="428">
        <v>5.24</v>
      </c>
      <c r="Q70" s="428" t="s">
        <v>414</v>
      </c>
      <c r="R70" s="428" t="s">
        <v>414</v>
      </c>
      <c r="S70" s="428">
        <v>6.54</v>
      </c>
      <c r="T70" s="428">
        <v>195.17</v>
      </c>
      <c r="U70" s="428">
        <v>0.19</v>
      </c>
      <c r="V70" s="428">
        <v>5.8</v>
      </c>
      <c r="W70" s="428">
        <v>108.15</v>
      </c>
      <c r="X70" s="431">
        <v>3226.06</v>
      </c>
      <c r="Y70" s="431">
        <v>6208.93</v>
      </c>
    </row>
    <row r="71" spans="1:25">
      <c r="A71" s="429" t="s">
        <v>479</v>
      </c>
      <c r="B71" s="427" t="s">
        <v>570</v>
      </c>
      <c r="C71" s="428" t="s">
        <v>35</v>
      </c>
      <c r="D71" s="431">
        <v>3977.16</v>
      </c>
      <c r="E71" s="428">
        <v>81.3</v>
      </c>
      <c r="F71" s="431">
        <v>3233.43</v>
      </c>
      <c r="G71" s="428">
        <v>13.52</v>
      </c>
      <c r="H71" s="428">
        <v>537.62</v>
      </c>
      <c r="I71" s="428">
        <v>0.43</v>
      </c>
      <c r="J71" s="428">
        <v>17.09</v>
      </c>
      <c r="K71" s="428" t="s">
        <v>414</v>
      </c>
      <c r="L71" s="428" t="s">
        <v>414</v>
      </c>
      <c r="M71" s="428" t="s">
        <v>414</v>
      </c>
      <c r="N71" s="428" t="s">
        <v>414</v>
      </c>
      <c r="O71" s="428">
        <v>0.13</v>
      </c>
      <c r="P71" s="428">
        <v>5.24</v>
      </c>
      <c r="Q71" s="428" t="s">
        <v>414</v>
      </c>
      <c r="R71" s="428" t="s">
        <v>414</v>
      </c>
      <c r="S71" s="428">
        <v>4.91</v>
      </c>
      <c r="T71" s="428">
        <v>195.17</v>
      </c>
      <c r="U71" s="428">
        <v>0.15</v>
      </c>
      <c r="V71" s="428">
        <v>5.8</v>
      </c>
      <c r="W71" s="428">
        <v>100.43</v>
      </c>
      <c r="X71" s="431">
        <v>3994.35</v>
      </c>
      <c r="Y71" s="431">
        <v>7971.52</v>
      </c>
    </row>
    <row r="72" spans="1:25">
      <c r="A72" s="429" t="s">
        <v>480</v>
      </c>
      <c r="B72" s="427" t="s">
        <v>571</v>
      </c>
      <c r="C72" s="428" t="s">
        <v>35</v>
      </c>
      <c r="D72" s="431">
        <v>6355.79</v>
      </c>
      <c r="E72" s="428">
        <v>81.3</v>
      </c>
      <c r="F72" s="431">
        <v>5167.26</v>
      </c>
      <c r="G72" s="428">
        <v>8.4600000000000009</v>
      </c>
      <c r="H72" s="428">
        <v>537.62</v>
      </c>
      <c r="I72" s="428">
        <v>0.27</v>
      </c>
      <c r="J72" s="428">
        <v>17.09</v>
      </c>
      <c r="K72" s="428" t="s">
        <v>414</v>
      </c>
      <c r="L72" s="428" t="s">
        <v>414</v>
      </c>
      <c r="M72" s="428" t="s">
        <v>414</v>
      </c>
      <c r="N72" s="428" t="s">
        <v>414</v>
      </c>
      <c r="O72" s="428">
        <v>0.08</v>
      </c>
      <c r="P72" s="428">
        <v>5.24</v>
      </c>
      <c r="Q72" s="428" t="s">
        <v>414</v>
      </c>
      <c r="R72" s="428" t="s">
        <v>414</v>
      </c>
      <c r="S72" s="428">
        <v>3.07</v>
      </c>
      <c r="T72" s="428">
        <v>195.17</v>
      </c>
      <c r="U72" s="428">
        <v>0.09</v>
      </c>
      <c r="V72" s="428">
        <v>5.8</v>
      </c>
      <c r="W72" s="428">
        <v>93.27</v>
      </c>
      <c r="X72" s="431">
        <v>5928.18</v>
      </c>
      <c r="Y72" s="431">
        <v>12283.96</v>
      </c>
    </row>
    <row r="73" spans="1:25">
      <c r="A73" s="429" t="s">
        <v>481</v>
      </c>
      <c r="B73" s="428" t="s">
        <v>497</v>
      </c>
      <c r="C73" s="428" t="s">
        <v>35</v>
      </c>
      <c r="D73" s="431">
        <v>3332.93</v>
      </c>
      <c r="E73" s="428">
        <v>80.3</v>
      </c>
      <c r="F73" s="431">
        <v>2676.34</v>
      </c>
      <c r="G73" s="428">
        <v>16.13</v>
      </c>
      <c r="H73" s="428">
        <v>537.62</v>
      </c>
      <c r="I73" s="428">
        <v>0.51</v>
      </c>
      <c r="J73" s="428">
        <v>17.09</v>
      </c>
      <c r="K73" s="428" t="s">
        <v>414</v>
      </c>
      <c r="L73" s="428" t="s">
        <v>414</v>
      </c>
      <c r="M73" s="428">
        <v>0.56999999999999995</v>
      </c>
      <c r="N73" s="428">
        <v>19.059999999999999</v>
      </c>
      <c r="O73" s="428">
        <v>7.0000000000000007E-2</v>
      </c>
      <c r="P73" s="428">
        <v>2.48</v>
      </c>
      <c r="Q73" s="428" t="s">
        <v>414</v>
      </c>
      <c r="R73" s="428" t="s">
        <v>414</v>
      </c>
      <c r="S73" s="428">
        <v>5.86</v>
      </c>
      <c r="T73" s="428">
        <v>195.17</v>
      </c>
      <c r="U73" s="428">
        <v>0.17</v>
      </c>
      <c r="V73" s="428">
        <v>5.8</v>
      </c>
      <c r="W73" s="428">
        <v>103.62</v>
      </c>
      <c r="X73" s="431">
        <v>3453.56</v>
      </c>
      <c r="Y73" s="431">
        <v>6786.49</v>
      </c>
    </row>
    <row r="74" spans="1:25">
      <c r="A74" s="429" t="s">
        <v>482</v>
      </c>
      <c r="B74" s="428" t="s">
        <v>498</v>
      </c>
      <c r="C74" s="428" t="s">
        <v>35</v>
      </c>
      <c r="D74" s="431">
        <v>4443.91</v>
      </c>
      <c r="E74" s="428">
        <v>80.3</v>
      </c>
      <c r="F74" s="431">
        <v>3568.46</v>
      </c>
      <c r="G74" s="428">
        <v>12.1</v>
      </c>
      <c r="H74" s="428">
        <v>537.62</v>
      </c>
      <c r="I74" s="428">
        <v>0.38</v>
      </c>
      <c r="J74" s="428">
        <v>17.09</v>
      </c>
      <c r="K74" s="428" t="s">
        <v>414</v>
      </c>
      <c r="L74" s="428" t="s">
        <v>414</v>
      </c>
      <c r="M74" s="428" t="s">
        <v>414</v>
      </c>
      <c r="N74" s="428" t="s">
        <v>414</v>
      </c>
      <c r="O74" s="428">
        <v>0.06</v>
      </c>
      <c r="P74" s="428">
        <v>2.48</v>
      </c>
      <c r="Q74" s="428" t="s">
        <v>414</v>
      </c>
      <c r="R74" s="428" t="s">
        <v>414</v>
      </c>
      <c r="S74" s="428">
        <v>4.3899999999999997</v>
      </c>
      <c r="T74" s="428">
        <v>195.17</v>
      </c>
      <c r="U74" s="428">
        <v>0.13</v>
      </c>
      <c r="V74" s="428">
        <v>5.8</v>
      </c>
      <c r="W74" s="428">
        <v>97.36</v>
      </c>
      <c r="X74" s="431">
        <v>4326.62</v>
      </c>
      <c r="Y74" s="431">
        <v>8770.52</v>
      </c>
    </row>
    <row r="75" spans="1:25">
      <c r="A75" s="429" t="s">
        <v>483</v>
      </c>
      <c r="B75" s="428" t="s">
        <v>499</v>
      </c>
      <c r="C75" s="428" t="s">
        <v>35</v>
      </c>
      <c r="D75" s="431">
        <v>7813.28</v>
      </c>
      <c r="E75" s="428">
        <v>80.3</v>
      </c>
      <c r="F75" s="431">
        <v>6274.06</v>
      </c>
      <c r="G75" s="428">
        <v>6.88</v>
      </c>
      <c r="H75" s="428">
        <v>537.62</v>
      </c>
      <c r="I75" s="428">
        <v>0.22</v>
      </c>
      <c r="J75" s="428">
        <v>17.09</v>
      </c>
      <c r="K75" s="428" t="s">
        <v>414</v>
      </c>
      <c r="L75" s="428" t="s">
        <v>414</v>
      </c>
      <c r="M75" s="428" t="s">
        <v>414</v>
      </c>
      <c r="N75" s="428" t="s">
        <v>414</v>
      </c>
      <c r="O75" s="428">
        <v>0.03</v>
      </c>
      <c r="P75" s="428">
        <v>2.48</v>
      </c>
      <c r="Q75" s="428" t="s">
        <v>414</v>
      </c>
      <c r="R75" s="428" t="s">
        <v>414</v>
      </c>
      <c r="S75" s="428">
        <v>2.5</v>
      </c>
      <c r="T75" s="428">
        <v>195.17</v>
      </c>
      <c r="U75" s="428">
        <v>7.0000000000000007E-2</v>
      </c>
      <c r="V75" s="428">
        <v>5.8</v>
      </c>
      <c r="W75" s="428">
        <v>90</v>
      </c>
      <c r="X75" s="431">
        <v>7032.22</v>
      </c>
      <c r="Y75" s="431">
        <v>14845.5</v>
      </c>
    </row>
    <row r="76" spans="1:25">
      <c r="A76" s="429" t="s">
        <v>484</v>
      </c>
      <c r="B76" s="428" t="s">
        <v>230</v>
      </c>
      <c r="C76" s="428" t="s">
        <v>35</v>
      </c>
      <c r="D76" s="431">
        <v>1968.4</v>
      </c>
      <c r="E76" s="428">
        <v>76.86</v>
      </c>
      <c r="F76" s="431">
        <v>1512.91</v>
      </c>
      <c r="G76" s="428">
        <v>27.31</v>
      </c>
      <c r="H76" s="428">
        <v>537.62</v>
      </c>
      <c r="I76" s="428" t="s">
        <v>414</v>
      </c>
      <c r="J76" s="428" t="s">
        <v>414</v>
      </c>
      <c r="K76" s="428" t="s">
        <v>414</v>
      </c>
      <c r="L76" s="428" t="s">
        <v>414</v>
      </c>
      <c r="M76" s="428">
        <v>5.13</v>
      </c>
      <c r="N76" s="428">
        <v>100.93</v>
      </c>
      <c r="O76" s="428">
        <v>0.16</v>
      </c>
      <c r="P76" s="428">
        <v>3.19</v>
      </c>
      <c r="Q76" s="428" t="s">
        <v>414</v>
      </c>
      <c r="R76" s="428" t="s">
        <v>414</v>
      </c>
      <c r="S76" s="428">
        <v>9.92</v>
      </c>
      <c r="T76" s="428">
        <v>195.17</v>
      </c>
      <c r="U76" s="428">
        <v>0.28999999999999998</v>
      </c>
      <c r="V76" s="428">
        <v>5.8</v>
      </c>
      <c r="W76" s="428">
        <v>119.67</v>
      </c>
      <c r="X76" s="431">
        <v>2355.62</v>
      </c>
      <c r="Y76" s="431">
        <v>4324.0200000000004</v>
      </c>
    </row>
    <row r="77" spans="1:25">
      <c r="A77" s="429" t="s">
        <v>485</v>
      </c>
      <c r="B77" s="428" t="s">
        <v>500</v>
      </c>
      <c r="C77" s="428" t="s">
        <v>35</v>
      </c>
      <c r="D77" s="431">
        <v>1581.29</v>
      </c>
      <c r="E77" s="428">
        <v>76.040000000000006</v>
      </c>
      <c r="F77" s="431">
        <v>1202.4100000000001</v>
      </c>
      <c r="G77" s="428">
        <v>34</v>
      </c>
      <c r="H77" s="428">
        <v>537.62</v>
      </c>
      <c r="I77" s="428">
        <v>1.21</v>
      </c>
      <c r="J77" s="428">
        <v>19.16</v>
      </c>
      <c r="K77" s="428" t="s">
        <v>414</v>
      </c>
      <c r="L77" s="428" t="s">
        <v>414</v>
      </c>
      <c r="M77" s="428">
        <v>7.85</v>
      </c>
      <c r="N77" s="428">
        <v>124.15</v>
      </c>
      <c r="O77" s="428">
        <v>0.28999999999999998</v>
      </c>
      <c r="P77" s="428">
        <v>4.53</v>
      </c>
      <c r="Q77" s="428" t="s">
        <v>414</v>
      </c>
      <c r="R77" s="428" t="s">
        <v>414</v>
      </c>
      <c r="S77" s="428">
        <v>12.34</v>
      </c>
      <c r="T77" s="428">
        <v>195.17</v>
      </c>
      <c r="U77" s="428">
        <v>0.37</v>
      </c>
      <c r="V77" s="428">
        <v>5.8</v>
      </c>
      <c r="W77" s="428">
        <v>132.1</v>
      </c>
      <c r="X77" s="431">
        <v>2088.85</v>
      </c>
      <c r="Y77" s="431">
        <v>3670.14</v>
      </c>
    </row>
    <row r="78" spans="1:25">
      <c r="A78" s="429" t="s">
        <v>486</v>
      </c>
      <c r="B78" s="428" t="s">
        <v>501</v>
      </c>
      <c r="C78" s="428" t="s">
        <v>35</v>
      </c>
      <c r="D78" s="431">
        <v>2291.36</v>
      </c>
      <c r="E78" s="428">
        <v>76.63</v>
      </c>
      <c r="F78" s="431">
        <v>1755.87</v>
      </c>
      <c r="G78" s="428">
        <v>23.46</v>
      </c>
      <c r="H78" s="428">
        <v>537.62</v>
      </c>
      <c r="I78" s="428">
        <v>0.84</v>
      </c>
      <c r="J78" s="428">
        <v>19.16</v>
      </c>
      <c r="K78" s="428" t="s">
        <v>414</v>
      </c>
      <c r="L78" s="428" t="s">
        <v>414</v>
      </c>
      <c r="M78" s="428">
        <v>3.56</v>
      </c>
      <c r="N78" s="428">
        <v>81.55</v>
      </c>
      <c r="O78" s="428">
        <v>0.19</v>
      </c>
      <c r="P78" s="428">
        <v>4.4400000000000004</v>
      </c>
      <c r="Q78" s="428" t="s">
        <v>414</v>
      </c>
      <c r="R78" s="428" t="s">
        <v>414</v>
      </c>
      <c r="S78" s="428">
        <v>8.52</v>
      </c>
      <c r="T78" s="428">
        <v>195.17</v>
      </c>
      <c r="U78" s="428">
        <v>0.25</v>
      </c>
      <c r="V78" s="428">
        <v>5.8</v>
      </c>
      <c r="W78" s="428">
        <v>113.45</v>
      </c>
      <c r="X78" s="431">
        <v>2599.61</v>
      </c>
      <c r="Y78" s="431">
        <v>4890.9799999999996</v>
      </c>
    </row>
    <row r="79" spans="1:25">
      <c r="A79" s="429" t="s">
        <v>487</v>
      </c>
      <c r="B79" s="428" t="s">
        <v>502</v>
      </c>
      <c r="C79" s="428" t="s">
        <v>35</v>
      </c>
      <c r="D79" s="431">
        <v>2865.43</v>
      </c>
      <c r="E79" s="428">
        <v>76.2</v>
      </c>
      <c r="F79" s="431">
        <v>2183.46</v>
      </c>
      <c r="G79" s="428">
        <v>18.760000000000002</v>
      </c>
      <c r="H79" s="428">
        <v>537.62</v>
      </c>
      <c r="I79" s="428">
        <v>0.67</v>
      </c>
      <c r="J79" s="428">
        <v>19.16</v>
      </c>
      <c r="K79" s="428" t="s">
        <v>414</v>
      </c>
      <c r="L79" s="428" t="s">
        <v>414</v>
      </c>
      <c r="M79" s="428">
        <v>1.64</v>
      </c>
      <c r="N79" s="428">
        <v>47.11</v>
      </c>
      <c r="O79" s="428">
        <v>0.16</v>
      </c>
      <c r="P79" s="428">
        <v>4.47</v>
      </c>
      <c r="Q79" s="428" t="s">
        <v>414</v>
      </c>
      <c r="R79" s="428" t="s">
        <v>414</v>
      </c>
      <c r="S79" s="428">
        <v>6.81</v>
      </c>
      <c r="T79" s="428">
        <v>195.17</v>
      </c>
      <c r="U79" s="428">
        <v>0.2</v>
      </c>
      <c r="V79" s="428">
        <v>5.8</v>
      </c>
      <c r="W79" s="428">
        <v>104.44</v>
      </c>
      <c r="X79" s="431">
        <v>2992.78</v>
      </c>
      <c r="Y79" s="431">
        <v>5858.22</v>
      </c>
    </row>
    <row r="80" spans="1:25">
      <c r="A80" s="429" t="s">
        <v>488</v>
      </c>
      <c r="B80" s="428" t="s">
        <v>503</v>
      </c>
      <c r="C80" s="428" t="s">
        <v>35</v>
      </c>
      <c r="D80" s="431">
        <v>3833.47</v>
      </c>
      <c r="E80" s="428">
        <v>77.44</v>
      </c>
      <c r="F80" s="431">
        <v>2968.64</v>
      </c>
      <c r="G80" s="428">
        <v>14.02</v>
      </c>
      <c r="H80" s="428">
        <v>537.62</v>
      </c>
      <c r="I80" s="428">
        <v>0.5</v>
      </c>
      <c r="J80" s="428">
        <v>19.16</v>
      </c>
      <c r="K80" s="428" t="s">
        <v>414</v>
      </c>
      <c r="L80" s="428" t="s">
        <v>414</v>
      </c>
      <c r="M80" s="428" t="s">
        <v>414</v>
      </c>
      <c r="N80" s="428" t="s">
        <v>414</v>
      </c>
      <c r="O80" s="428">
        <v>0.1</v>
      </c>
      <c r="P80" s="428">
        <v>3.9</v>
      </c>
      <c r="Q80" s="428" t="s">
        <v>414</v>
      </c>
      <c r="R80" s="428" t="s">
        <v>414</v>
      </c>
      <c r="S80" s="428">
        <v>5.09</v>
      </c>
      <c r="T80" s="428">
        <v>195.17</v>
      </c>
      <c r="U80" s="428">
        <v>0.15</v>
      </c>
      <c r="V80" s="428">
        <v>5.8</v>
      </c>
      <c r="W80" s="428">
        <v>97.31</v>
      </c>
      <c r="X80" s="431">
        <v>3730.29</v>
      </c>
      <c r="Y80" s="431">
        <v>7563.76</v>
      </c>
    </row>
    <row r="81" spans="1:25">
      <c r="A81" s="429" t="s">
        <v>489</v>
      </c>
      <c r="B81" s="428" t="s">
        <v>504</v>
      </c>
      <c r="C81" s="428" t="s">
        <v>35</v>
      </c>
      <c r="D81" s="431">
        <v>2183.02</v>
      </c>
      <c r="E81" s="428">
        <v>75.78</v>
      </c>
      <c r="F81" s="431">
        <v>1654.29</v>
      </c>
      <c r="G81" s="428">
        <v>24.63</v>
      </c>
      <c r="H81" s="428">
        <v>537.62</v>
      </c>
      <c r="I81" s="428">
        <v>0.88</v>
      </c>
      <c r="J81" s="428">
        <v>19.16</v>
      </c>
      <c r="K81" s="428" t="s">
        <v>414</v>
      </c>
      <c r="L81" s="428" t="s">
        <v>414</v>
      </c>
      <c r="M81" s="428">
        <v>4.03</v>
      </c>
      <c r="N81" s="428">
        <v>88.05</v>
      </c>
      <c r="O81" s="428">
        <v>0.15</v>
      </c>
      <c r="P81" s="428">
        <v>3.35</v>
      </c>
      <c r="Q81" s="428" t="s">
        <v>414</v>
      </c>
      <c r="R81" s="428" t="s">
        <v>414</v>
      </c>
      <c r="S81" s="428">
        <v>8.94</v>
      </c>
      <c r="T81" s="428">
        <v>195.17</v>
      </c>
      <c r="U81" s="428">
        <v>0.27</v>
      </c>
      <c r="V81" s="428">
        <v>5.8</v>
      </c>
      <c r="W81" s="428">
        <v>114.68</v>
      </c>
      <c r="X81" s="431">
        <v>2503.4499999999998</v>
      </c>
      <c r="Y81" s="431">
        <v>4686.46</v>
      </c>
    </row>
    <row r="82" spans="1:25">
      <c r="A82" s="429" t="s">
        <v>490</v>
      </c>
      <c r="B82" s="428" t="s">
        <v>505</v>
      </c>
      <c r="C82" s="428" t="s">
        <v>35</v>
      </c>
      <c r="D82" s="431">
        <v>3203.94</v>
      </c>
      <c r="E82" s="428">
        <v>76.12</v>
      </c>
      <c r="F82" s="431">
        <v>2438.84</v>
      </c>
      <c r="G82" s="428">
        <v>16.78</v>
      </c>
      <c r="H82" s="428">
        <v>537.62</v>
      </c>
      <c r="I82" s="428" t="s">
        <v>414</v>
      </c>
      <c r="J82" s="428" t="s">
        <v>414</v>
      </c>
      <c r="K82" s="428" t="s">
        <v>414</v>
      </c>
      <c r="L82" s="428" t="s">
        <v>414</v>
      </c>
      <c r="M82" s="428">
        <v>0.84</v>
      </c>
      <c r="N82" s="428">
        <v>26.8</v>
      </c>
      <c r="O82" s="428">
        <v>0.1</v>
      </c>
      <c r="P82" s="428">
        <v>3.26</v>
      </c>
      <c r="Q82" s="428" t="s">
        <v>414</v>
      </c>
      <c r="R82" s="428" t="s">
        <v>414</v>
      </c>
      <c r="S82" s="428">
        <v>6.09</v>
      </c>
      <c r="T82" s="428">
        <v>195.17</v>
      </c>
      <c r="U82" s="428">
        <v>0.18</v>
      </c>
      <c r="V82" s="428">
        <v>5.8</v>
      </c>
      <c r="W82" s="428">
        <v>100.11</v>
      </c>
      <c r="X82" s="431">
        <v>3207.49</v>
      </c>
      <c r="Y82" s="431">
        <v>6411.42</v>
      </c>
    </row>
    <row r="83" spans="1:25">
      <c r="A83" s="429" t="s">
        <v>491</v>
      </c>
      <c r="B83" s="428" t="s">
        <v>506</v>
      </c>
      <c r="C83" s="428" t="s">
        <v>35</v>
      </c>
      <c r="D83" s="431">
        <v>1926.61</v>
      </c>
      <c r="E83" s="428">
        <v>76.709999999999994</v>
      </c>
      <c r="F83" s="431">
        <v>1477.91</v>
      </c>
      <c r="G83" s="428">
        <v>27.91</v>
      </c>
      <c r="H83" s="428">
        <v>537.62</v>
      </c>
      <c r="I83" s="428">
        <v>0.99</v>
      </c>
      <c r="J83" s="428">
        <v>19.16</v>
      </c>
      <c r="K83" s="428" t="s">
        <v>414</v>
      </c>
      <c r="L83" s="428" t="s">
        <v>414</v>
      </c>
      <c r="M83" s="428">
        <v>5.37</v>
      </c>
      <c r="N83" s="428">
        <v>103.44</v>
      </c>
      <c r="O83" s="428">
        <v>0.18</v>
      </c>
      <c r="P83" s="428">
        <v>3.54</v>
      </c>
      <c r="Q83" s="428" t="s">
        <v>414</v>
      </c>
      <c r="R83" s="428"/>
      <c r="S83" s="428">
        <v>10.130000000000001</v>
      </c>
      <c r="T83" s="428">
        <v>195.17</v>
      </c>
      <c r="U83" s="428">
        <v>0.3</v>
      </c>
      <c r="V83" s="428">
        <v>5.8</v>
      </c>
      <c r="W83" s="428">
        <v>121.59</v>
      </c>
      <c r="X83" s="431">
        <v>2342.64</v>
      </c>
      <c r="Y83" s="431">
        <v>4269.25</v>
      </c>
    </row>
  </sheetData>
  <mergeCells count="43">
    <mergeCell ref="AE33:AE35"/>
    <mergeCell ref="AD33:AD35"/>
    <mergeCell ref="AC33:AC35"/>
    <mergeCell ref="AC36:AC43"/>
    <mergeCell ref="AD36:AD43"/>
    <mergeCell ref="AE36:AE43"/>
    <mergeCell ref="AF36:AF43"/>
    <mergeCell ref="AG36:AG43"/>
    <mergeCell ref="AF18:AF19"/>
    <mergeCell ref="AF33:AF35"/>
    <mergeCell ref="AG33:AG35"/>
    <mergeCell ref="AB20:AB21"/>
    <mergeCell ref="AB22:AB23"/>
    <mergeCell ref="AB24:AB27"/>
    <mergeCell ref="AB28:AB29"/>
    <mergeCell ref="AB18:AB19"/>
    <mergeCell ref="AC18:AC19"/>
    <mergeCell ref="AD18:AD19"/>
    <mergeCell ref="AE18:AE19"/>
    <mergeCell ref="W1:X2"/>
    <mergeCell ref="Y1:Y2"/>
    <mergeCell ref="AB12:AB14"/>
    <mergeCell ref="O2:P2"/>
    <mergeCell ref="Q2:R2"/>
    <mergeCell ref="S2:T2"/>
    <mergeCell ref="U2:V2"/>
    <mergeCell ref="G1:P1"/>
    <mergeCell ref="Q1:V1"/>
    <mergeCell ref="G2:H2"/>
    <mergeCell ref="I2:J2"/>
    <mergeCell ref="K2:L2"/>
    <mergeCell ref="M2:N2"/>
    <mergeCell ref="AF10:AG10"/>
    <mergeCell ref="AB10:AB11"/>
    <mergeCell ref="AC10:AC11"/>
    <mergeCell ref="AD10:AD11"/>
    <mergeCell ref="AE10:AE11"/>
    <mergeCell ref="F1:F3"/>
    <mergeCell ref="E1:E3"/>
    <mergeCell ref="D1:D3"/>
    <mergeCell ref="A1:A3"/>
    <mergeCell ref="B1:B3"/>
    <mergeCell ref="C1:C3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B1:AW22"/>
  <sheetViews>
    <sheetView tabSelected="1" topLeftCell="A16" zoomScaleNormal="100" workbookViewId="0">
      <selection activeCell="C13" sqref="C13"/>
    </sheetView>
  </sheetViews>
  <sheetFormatPr defaultRowHeight="12.75"/>
  <cols>
    <col min="1" max="1" width="2.7109375" style="168" customWidth="1"/>
    <col min="2" max="2" width="6.28515625" style="168" customWidth="1"/>
    <col min="3" max="3" width="85.5703125" style="168" customWidth="1"/>
    <col min="4" max="4" width="1.5703125" style="168" hidden="1" customWidth="1"/>
    <col min="5" max="29" width="3.42578125" style="168" customWidth="1"/>
    <col min="30" max="30" width="16" style="168" customWidth="1"/>
    <col min="31" max="32" width="16.42578125" style="168" customWidth="1"/>
    <col min="33" max="16384" width="9.140625" style="168"/>
  </cols>
  <sheetData>
    <row r="1" spans="2:49" ht="13.5" thickBot="1"/>
    <row r="2" spans="2:49" ht="15">
      <c r="B2" s="624" t="str">
        <f>DADOS!D27</f>
        <v>LICENCIAMENTO AMBIENTAL - BR-158/MT</v>
      </c>
      <c r="C2" s="625"/>
      <c r="D2" s="625"/>
      <c r="E2" s="625"/>
      <c r="F2" s="625"/>
      <c r="G2" s="625"/>
      <c r="H2" s="625"/>
      <c r="I2" s="625"/>
      <c r="J2" s="626"/>
      <c r="K2" s="626"/>
      <c r="L2" s="626"/>
      <c r="M2" s="626"/>
      <c r="N2" s="626"/>
      <c r="O2" s="626"/>
      <c r="P2" s="626"/>
      <c r="Q2" s="626"/>
      <c r="R2" s="626"/>
      <c r="S2" s="626"/>
      <c r="T2" s="626"/>
      <c r="U2" s="626"/>
      <c r="V2" s="626"/>
      <c r="W2" s="627"/>
      <c r="X2" s="627"/>
      <c r="Y2" s="627"/>
      <c r="Z2" s="627"/>
      <c r="AA2" s="627"/>
      <c r="AB2" s="627"/>
      <c r="AC2" s="627"/>
      <c r="AD2" s="628"/>
    </row>
    <row r="3" spans="2:49" ht="15" customHeight="1">
      <c r="B3" s="680" t="s">
        <v>194</v>
      </c>
      <c r="C3" s="681"/>
      <c r="D3" s="681"/>
      <c r="E3" s="681"/>
      <c r="F3" s="681"/>
      <c r="G3" s="681"/>
      <c r="H3" s="681"/>
      <c r="I3" s="681"/>
      <c r="J3" s="681"/>
      <c r="K3" s="681"/>
      <c r="L3" s="681"/>
      <c r="M3" s="681"/>
      <c r="N3" s="681"/>
      <c r="O3" s="681"/>
      <c r="P3" s="681"/>
      <c r="Q3" s="681"/>
      <c r="R3" s="681"/>
      <c r="S3" s="681"/>
      <c r="T3" s="681"/>
      <c r="U3" s="681"/>
      <c r="V3" s="681"/>
      <c r="W3" s="681"/>
      <c r="X3" s="681"/>
      <c r="Y3" s="681"/>
      <c r="Z3" s="681"/>
      <c r="AA3" s="681"/>
      <c r="AB3" s="681"/>
      <c r="AC3" s="682"/>
      <c r="AD3" s="169"/>
    </row>
    <row r="4" spans="2:49" ht="15" customHeight="1">
      <c r="B4" s="170" t="s">
        <v>156</v>
      </c>
      <c r="C4" s="171"/>
      <c r="D4" s="632" t="s">
        <v>228</v>
      </c>
      <c r="E4" s="632"/>
      <c r="F4" s="632"/>
      <c r="G4" s="632"/>
      <c r="H4" s="632"/>
      <c r="I4" s="632"/>
      <c r="J4" s="632"/>
      <c r="K4" s="632"/>
      <c r="L4" s="632"/>
      <c r="M4" s="632"/>
      <c r="N4" s="632"/>
      <c r="O4" s="632"/>
      <c r="P4" s="632"/>
      <c r="Q4" s="632"/>
      <c r="R4" s="632"/>
      <c r="S4" s="632"/>
      <c r="T4" s="632"/>
      <c r="U4" s="632"/>
      <c r="V4" s="632"/>
      <c r="W4" s="632"/>
      <c r="X4" s="632"/>
      <c r="Y4" s="632"/>
      <c r="Z4" s="632"/>
      <c r="AA4" s="632"/>
      <c r="AB4" s="632"/>
      <c r="AC4" s="632"/>
      <c r="AD4" s="636" t="s">
        <v>191</v>
      </c>
      <c r="AE4" s="633"/>
      <c r="AF4" s="633"/>
      <c r="AG4" s="633"/>
      <c r="AH4" s="634"/>
      <c r="AI4" s="634"/>
      <c r="AJ4" s="634"/>
      <c r="AK4" s="634"/>
      <c r="AL4" s="634"/>
      <c r="AM4" s="634"/>
      <c r="AN4" s="634"/>
      <c r="AO4" s="634"/>
      <c r="AP4" s="634"/>
      <c r="AQ4" s="634"/>
      <c r="AR4" s="634"/>
      <c r="AS4" s="634"/>
      <c r="AT4" s="634"/>
      <c r="AU4" s="634"/>
      <c r="AV4" s="634"/>
      <c r="AW4" s="634"/>
    </row>
    <row r="5" spans="2:49" ht="15" customHeight="1">
      <c r="B5" s="678" t="s">
        <v>322</v>
      </c>
      <c r="C5" s="679"/>
      <c r="D5" s="633" t="s">
        <v>323</v>
      </c>
      <c r="E5" s="633"/>
      <c r="F5" s="633"/>
      <c r="G5" s="633"/>
      <c r="H5" s="633"/>
      <c r="I5" s="633"/>
      <c r="J5" s="633"/>
      <c r="K5" s="633"/>
      <c r="L5" s="633"/>
      <c r="M5" s="633"/>
      <c r="N5" s="633"/>
      <c r="O5" s="633"/>
      <c r="P5" s="633"/>
      <c r="Q5" s="633"/>
      <c r="R5" s="633"/>
      <c r="S5" s="633"/>
      <c r="T5" s="633"/>
      <c r="U5" s="633"/>
      <c r="V5" s="633"/>
      <c r="W5" s="633"/>
      <c r="X5" s="633"/>
      <c r="Y5" s="633"/>
      <c r="Z5" s="633"/>
      <c r="AA5" s="633"/>
      <c r="AB5" s="633"/>
      <c r="AC5" s="633"/>
      <c r="AD5" s="677"/>
      <c r="AE5" s="633"/>
      <c r="AF5" s="633"/>
      <c r="AG5" s="633"/>
      <c r="AH5" s="634"/>
      <c r="AI5" s="634"/>
      <c r="AJ5" s="634"/>
      <c r="AK5" s="634"/>
      <c r="AL5" s="634"/>
      <c r="AM5" s="634"/>
      <c r="AN5" s="634"/>
      <c r="AO5" s="634"/>
      <c r="AP5" s="634"/>
      <c r="AQ5" s="634"/>
      <c r="AR5" s="634"/>
      <c r="AS5" s="634"/>
      <c r="AT5" s="634"/>
      <c r="AU5" s="634"/>
      <c r="AV5" s="634"/>
      <c r="AW5" s="634"/>
    </row>
    <row r="6" spans="2:49" ht="15" customHeight="1" thickBot="1">
      <c r="B6" s="404" t="s">
        <v>321</v>
      </c>
      <c r="C6" s="405"/>
      <c r="D6" s="633" t="s">
        <v>229</v>
      </c>
      <c r="E6" s="633"/>
      <c r="F6" s="633"/>
      <c r="G6" s="633"/>
      <c r="H6" s="633"/>
      <c r="I6" s="633"/>
      <c r="J6" s="633"/>
      <c r="K6" s="633"/>
      <c r="L6" s="633"/>
      <c r="M6" s="633"/>
      <c r="N6" s="633"/>
      <c r="O6" s="633"/>
      <c r="P6" s="633"/>
      <c r="Q6" s="633"/>
      <c r="R6" s="633"/>
      <c r="S6" s="633"/>
      <c r="T6" s="633"/>
      <c r="U6" s="633"/>
      <c r="V6" s="633"/>
      <c r="W6" s="633"/>
      <c r="X6" s="633"/>
      <c r="Y6" s="633"/>
      <c r="Z6" s="633"/>
      <c r="AA6" s="633"/>
      <c r="AB6" s="633"/>
      <c r="AC6" s="633"/>
      <c r="AD6" s="539">
        <f>DADOS!E30</f>
        <v>43831</v>
      </c>
    </row>
    <row r="7" spans="2:49" ht="12.75" customHeight="1">
      <c r="B7" s="673" t="s">
        <v>331</v>
      </c>
      <c r="C7" s="674"/>
      <c r="D7" s="683" t="s">
        <v>158</v>
      </c>
      <c r="E7" s="684"/>
      <c r="F7" s="684"/>
      <c r="G7" s="684"/>
      <c r="H7" s="684"/>
      <c r="I7" s="684"/>
      <c r="J7" s="684"/>
      <c r="K7" s="684"/>
      <c r="L7" s="684"/>
      <c r="M7" s="684"/>
      <c r="N7" s="684"/>
      <c r="O7" s="684"/>
      <c r="P7" s="684"/>
      <c r="Q7" s="684"/>
      <c r="R7" s="684"/>
      <c r="S7" s="684"/>
      <c r="T7" s="684"/>
      <c r="U7" s="684"/>
      <c r="V7" s="684"/>
      <c r="W7" s="684"/>
      <c r="X7" s="684"/>
      <c r="Y7" s="684"/>
      <c r="Z7" s="684"/>
      <c r="AA7" s="684"/>
      <c r="AB7" s="684"/>
      <c r="AC7" s="685"/>
      <c r="AD7" s="169"/>
    </row>
    <row r="8" spans="2:49" ht="27.75" customHeight="1" thickBot="1">
      <c r="B8" s="675"/>
      <c r="C8" s="676"/>
      <c r="D8" s="403"/>
      <c r="E8" s="177">
        <v>1</v>
      </c>
      <c r="F8" s="177">
        <v>2</v>
      </c>
      <c r="G8" s="177">
        <v>3</v>
      </c>
      <c r="H8" s="177">
        <v>4</v>
      </c>
      <c r="I8" s="177">
        <v>5</v>
      </c>
      <c r="J8" s="422">
        <v>6</v>
      </c>
      <c r="K8" s="422">
        <v>7</v>
      </c>
      <c r="L8" s="422">
        <v>8</v>
      </c>
      <c r="M8" s="422">
        <v>9</v>
      </c>
      <c r="N8" s="422">
        <v>10</v>
      </c>
      <c r="O8" s="422">
        <v>11</v>
      </c>
      <c r="P8" s="422">
        <v>12</v>
      </c>
      <c r="Q8" s="422">
        <v>13</v>
      </c>
      <c r="R8" s="422">
        <v>14</v>
      </c>
      <c r="S8" s="422">
        <v>15</v>
      </c>
      <c r="T8" s="422">
        <v>16</v>
      </c>
      <c r="U8" s="422">
        <v>17</v>
      </c>
      <c r="V8" s="422">
        <v>18</v>
      </c>
      <c r="W8" s="423">
        <v>19</v>
      </c>
      <c r="X8" s="423">
        <v>20</v>
      </c>
      <c r="Y8" s="423">
        <v>21</v>
      </c>
      <c r="Z8" s="423">
        <v>22</v>
      </c>
      <c r="AA8" s="423">
        <v>23</v>
      </c>
      <c r="AB8" s="423">
        <v>24</v>
      </c>
      <c r="AC8" s="424" t="s">
        <v>209</v>
      </c>
      <c r="AD8" s="286" t="s">
        <v>14</v>
      </c>
    </row>
    <row r="9" spans="2:49" ht="59.25" customHeight="1">
      <c r="B9" s="284">
        <v>1</v>
      </c>
      <c r="C9" s="406" t="s">
        <v>324</v>
      </c>
      <c r="D9" s="183"/>
      <c r="E9" s="314"/>
      <c r="F9" s="314"/>
      <c r="G9" s="311">
        <f>AD9/4</f>
        <v>129911.4869621172</v>
      </c>
      <c r="I9" s="326"/>
      <c r="J9" s="311">
        <f>AD9/4</f>
        <v>129911.4869621172</v>
      </c>
      <c r="L9" s="326"/>
      <c r="M9" s="311">
        <f>AD9/4</f>
        <v>129911.4869621172</v>
      </c>
      <c r="N9" s="326"/>
      <c r="O9" s="326"/>
      <c r="P9" s="311">
        <f>AD9/4</f>
        <v>129911.4869621172</v>
      </c>
      <c r="Q9" s="326"/>
      <c r="R9" s="326"/>
      <c r="S9" s="326"/>
      <c r="T9" s="326"/>
      <c r="U9" s="326"/>
      <c r="V9" s="326"/>
      <c r="W9" s="401"/>
      <c r="X9" s="401"/>
      <c r="Y9" s="401"/>
      <c r="Z9" s="401"/>
      <c r="AA9" s="401"/>
      <c r="AB9" s="401"/>
      <c r="AC9" s="312">
        <f>AD9/AD19</f>
        <v>0.40729982965027722</v>
      </c>
      <c r="AD9" s="219">
        <f>ORÇAMENTO!K9</f>
        <v>519645.94784846879</v>
      </c>
      <c r="AE9" s="400">
        <f t="shared" ref="AE9:AE15" si="0">SUM(E9:AB9)</f>
        <v>519645.94784846879</v>
      </c>
    </row>
    <row r="10" spans="2:49" ht="66" customHeight="1">
      <c r="B10" s="284">
        <v>2</v>
      </c>
      <c r="C10" s="189" t="s">
        <v>325</v>
      </c>
      <c r="D10" s="183"/>
      <c r="E10" s="314"/>
      <c r="F10" s="314"/>
      <c r="G10" s="311">
        <f>AD10/1</f>
        <v>130271.143323392</v>
      </c>
      <c r="H10" s="314"/>
      <c r="I10" s="326"/>
      <c r="J10" s="326"/>
      <c r="K10" s="326"/>
      <c r="L10" s="326"/>
      <c r="M10" s="326"/>
      <c r="N10" s="326"/>
      <c r="O10" s="326"/>
      <c r="P10" s="326"/>
      <c r="Q10" s="326"/>
      <c r="R10" s="326"/>
      <c r="S10" s="326"/>
      <c r="T10" s="326"/>
      <c r="U10" s="326"/>
      <c r="V10" s="326"/>
      <c r="W10" s="401"/>
      <c r="X10" s="401"/>
      <c r="Y10" s="401"/>
      <c r="Z10" s="334"/>
      <c r="AA10" s="334"/>
      <c r="AB10" s="334"/>
      <c r="AC10" s="312">
        <f>AD10/AD19</f>
        <v>0.10210685699301708</v>
      </c>
      <c r="AD10" s="219">
        <f>ORÇAMENTO!K12</f>
        <v>130271.143323392</v>
      </c>
      <c r="AE10" s="400">
        <f t="shared" si="0"/>
        <v>130271.143323392</v>
      </c>
    </row>
    <row r="11" spans="2:49" ht="64.5" customHeight="1">
      <c r="B11" s="284">
        <v>3</v>
      </c>
      <c r="C11" s="407" t="s">
        <v>326</v>
      </c>
      <c r="D11" s="183"/>
      <c r="E11" s="314"/>
      <c r="F11" s="311">
        <f>AD11/1</f>
        <v>36182.98366372614</v>
      </c>
      <c r="G11" s="326"/>
      <c r="H11" s="326"/>
      <c r="I11" s="326"/>
      <c r="J11" s="326"/>
      <c r="K11" s="326"/>
      <c r="L11" s="326"/>
      <c r="M11" s="326"/>
      <c r="N11" s="326"/>
      <c r="O11" s="326"/>
      <c r="P11" s="326"/>
      <c r="Q11" s="326"/>
      <c r="R11" s="326"/>
      <c r="S11" s="326"/>
      <c r="T11" s="326"/>
      <c r="U11" s="326"/>
      <c r="V11" s="314"/>
      <c r="W11" s="334"/>
      <c r="X11" s="334"/>
      <c r="Y11" s="334"/>
      <c r="Z11" s="334"/>
      <c r="AA11" s="334"/>
      <c r="AB11" s="334"/>
      <c r="AC11" s="312">
        <f>AD11/AD19</f>
        <v>2.8360315602368354E-2</v>
      </c>
      <c r="AD11" s="219">
        <f>ORÇAMENTO!K18</f>
        <v>36182.98366372614</v>
      </c>
      <c r="AE11" s="400">
        <f t="shared" si="0"/>
        <v>36182.98366372614</v>
      </c>
    </row>
    <row r="12" spans="2:49" ht="58.5" customHeight="1">
      <c r="B12" s="284">
        <v>4</v>
      </c>
      <c r="C12" s="408" t="s">
        <v>327</v>
      </c>
      <c r="D12" s="183"/>
      <c r="E12" s="314"/>
      <c r="F12" s="326"/>
      <c r="G12" s="326"/>
      <c r="H12" s="311">
        <f>AD12/1</f>
        <v>249539.7565649625</v>
      </c>
      <c r="I12" s="326"/>
      <c r="J12" s="326"/>
      <c r="K12" s="326"/>
      <c r="L12" s="326"/>
      <c r="M12" s="326"/>
      <c r="N12" s="326"/>
      <c r="O12" s="326"/>
      <c r="P12" s="326"/>
      <c r="Q12" s="326"/>
      <c r="R12" s="326"/>
      <c r="S12" s="326"/>
      <c r="T12" s="314"/>
      <c r="U12" s="314"/>
      <c r="V12" s="314"/>
      <c r="W12" s="334"/>
      <c r="X12" s="334"/>
      <c r="Y12" s="334"/>
      <c r="Z12" s="334"/>
      <c r="AA12" s="334"/>
      <c r="AB12" s="334"/>
      <c r="AC12" s="312">
        <f>AD12/AD19</f>
        <v>0.19558990262639142</v>
      </c>
      <c r="AD12" s="219">
        <f>ORÇAMENTO!K15</f>
        <v>249539.7565649625</v>
      </c>
      <c r="AE12" s="400">
        <f t="shared" si="0"/>
        <v>249539.7565649625</v>
      </c>
    </row>
    <row r="13" spans="2:49" ht="51" customHeight="1">
      <c r="B13" s="284">
        <v>5</v>
      </c>
      <c r="C13" s="408" t="s">
        <v>328</v>
      </c>
      <c r="D13" s="183"/>
      <c r="E13" s="314"/>
      <c r="F13" s="314"/>
      <c r="G13" s="314"/>
      <c r="H13" s="314"/>
      <c r="I13" s="311">
        <f>AD13/1</f>
        <v>57419.994712085914</v>
      </c>
      <c r="J13" s="326"/>
      <c r="K13" s="326"/>
      <c r="L13" s="326"/>
      <c r="M13" s="326"/>
      <c r="N13" s="326"/>
      <c r="O13" s="326"/>
      <c r="P13" s="326"/>
      <c r="Q13" s="326"/>
      <c r="R13" s="326"/>
      <c r="S13" s="314"/>
      <c r="T13" s="314"/>
      <c r="U13" s="314"/>
      <c r="V13" s="314"/>
      <c r="W13" s="334"/>
      <c r="X13" s="334"/>
      <c r="Y13" s="334"/>
      <c r="Z13" s="334"/>
      <c r="AA13" s="334"/>
      <c r="AB13" s="334"/>
      <c r="AC13" s="312">
        <f>AD13/AD19</f>
        <v>4.5005939450858984E-2</v>
      </c>
      <c r="AD13" s="219">
        <f>ORÇAMENTO!K21</f>
        <v>57419.994712085914</v>
      </c>
      <c r="AE13" s="400">
        <f t="shared" si="0"/>
        <v>57419.994712085914</v>
      </c>
    </row>
    <row r="14" spans="2:49" ht="57" customHeight="1">
      <c r="B14" s="284">
        <v>6</v>
      </c>
      <c r="C14" s="408" t="s">
        <v>329</v>
      </c>
      <c r="D14" s="183"/>
      <c r="E14" s="330"/>
      <c r="F14" s="330"/>
      <c r="G14" s="330"/>
      <c r="H14" s="330"/>
      <c r="I14" s="330"/>
      <c r="K14" s="326"/>
      <c r="L14" s="326"/>
      <c r="M14" s="326"/>
      <c r="N14" s="326"/>
      <c r="O14" s="326"/>
      <c r="P14" s="326"/>
      <c r="Q14" s="326"/>
      <c r="R14" s="326"/>
      <c r="S14" s="326"/>
      <c r="T14" s="326"/>
      <c r="U14" s="326"/>
      <c r="V14" s="326"/>
      <c r="W14" s="401"/>
      <c r="X14" s="401"/>
      <c r="Y14" s="401"/>
      <c r="Z14" s="401"/>
      <c r="AA14" s="401"/>
      <c r="AB14" s="311">
        <f>AD14/1</f>
        <v>225890.23331267192</v>
      </c>
      <c r="AC14" s="312">
        <f>AD14/AD19</f>
        <v>0.17705334551120519</v>
      </c>
      <c r="AD14" s="219">
        <f>ORÇAMENTO!K24</f>
        <v>225890.23331267192</v>
      </c>
      <c r="AE14" s="400">
        <f>SUM(E14:AB14)</f>
        <v>225890.23331267192</v>
      </c>
    </row>
    <row r="15" spans="2:49" ht="51" customHeight="1" thickBot="1">
      <c r="B15" s="284">
        <v>7</v>
      </c>
      <c r="C15" s="412" t="s">
        <v>330</v>
      </c>
      <c r="D15" s="413"/>
      <c r="E15" s="414"/>
      <c r="F15" s="414"/>
      <c r="G15" s="415">
        <f>AD15/1</f>
        <v>56881.42887817663</v>
      </c>
      <c r="H15" s="414"/>
      <c r="I15" s="414"/>
      <c r="J15" s="414"/>
      <c r="K15" s="414"/>
      <c r="L15" s="414"/>
      <c r="M15" s="414"/>
      <c r="N15" s="414"/>
      <c r="O15" s="414"/>
      <c r="P15" s="414"/>
      <c r="Q15" s="414"/>
      <c r="R15" s="414"/>
      <c r="S15" s="414"/>
      <c r="T15" s="414"/>
      <c r="U15" s="414"/>
      <c r="V15" s="414"/>
      <c r="W15" s="335"/>
      <c r="X15" s="335"/>
      <c r="Y15" s="335"/>
      <c r="Z15" s="335"/>
      <c r="AA15" s="335"/>
      <c r="AB15" s="335"/>
      <c r="AC15" s="317">
        <f>AD15/AD19</f>
        <v>4.4583810165881525E-2</v>
      </c>
      <c r="AD15" s="283">
        <f>ORÇAMENTO!K27</f>
        <v>56881.42887817663</v>
      </c>
      <c r="AE15" s="400">
        <f t="shared" si="0"/>
        <v>56881.42887817663</v>
      </c>
      <c r="AF15" s="186"/>
    </row>
    <row r="16" spans="2:49" ht="31.5" customHeight="1" thickBot="1">
      <c r="B16" s="416"/>
      <c r="C16" s="417"/>
      <c r="D16" s="418"/>
      <c r="E16" s="419"/>
      <c r="F16" s="419"/>
      <c r="G16" s="419"/>
      <c r="H16" s="419"/>
      <c r="I16" s="419"/>
      <c r="J16" s="419"/>
      <c r="K16" s="419"/>
      <c r="L16" s="419"/>
      <c r="M16" s="419"/>
      <c r="N16" s="419"/>
      <c r="O16" s="419"/>
      <c r="P16" s="419"/>
      <c r="Q16" s="419"/>
      <c r="R16" s="419"/>
      <c r="S16" s="419"/>
      <c r="T16" s="419"/>
      <c r="U16" s="419"/>
      <c r="V16" s="419"/>
      <c r="W16" s="419"/>
      <c r="X16" s="419"/>
      <c r="Y16" s="419"/>
      <c r="Z16" s="419"/>
      <c r="AA16" s="419"/>
      <c r="AB16" s="419"/>
      <c r="AC16" s="420">
        <f>SUM(AC9:AC15)</f>
        <v>0.99999999999999978</v>
      </c>
      <c r="AD16" s="421"/>
      <c r="AE16" s="220"/>
      <c r="AF16" s="186"/>
    </row>
    <row r="17" spans="2:32" ht="33.75" customHeight="1">
      <c r="B17" s="284"/>
      <c r="C17" s="402" t="s">
        <v>207</v>
      </c>
      <c r="D17" s="410"/>
      <c r="E17" s="411">
        <f>E19/AD19</f>
        <v>0</v>
      </c>
      <c r="F17" s="411">
        <f>F19/AD19</f>
        <v>2.8360315602368354E-2</v>
      </c>
      <c r="G17" s="411">
        <f>G19/AD19</f>
        <v>0.24851562457146792</v>
      </c>
      <c r="H17" s="411">
        <f>H19/AD19</f>
        <v>0.19558990262639142</v>
      </c>
      <c r="I17" s="411">
        <f>I19/AD19</f>
        <v>4.5005939450858984E-2</v>
      </c>
      <c r="J17" s="411">
        <f>J19/AD19</f>
        <v>0.10182495741256931</v>
      </c>
      <c r="K17" s="411">
        <f>K19/AD19</f>
        <v>0</v>
      </c>
      <c r="L17" s="411">
        <f>L19/AD19</f>
        <v>0</v>
      </c>
      <c r="M17" s="411">
        <f>M19/AD19</f>
        <v>0.10182495741256931</v>
      </c>
      <c r="N17" s="411">
        <f>N19/AD19</f>
        <v>0</v>
      </c>
      <c r="O17" s="411">
        <f>O19/AD19</f>
        <v>0</v>
      </c>
      <c r="P17" s="411">
        <f>P19/AD19</f>
        <v>0.10182495741256931</v>
      </c>
      <c r="Q17" s="411">
        <f>Q19/AD19</f>
        <v>0</v>
      </c>
      <c r="R17" s="411">
        <f>R19/AD19</f>
        <v>0</v>
      </c>
      <c r="S17" s="411">
        <f>S19/AD19</f>
        <v>0</v>
      </c>
      <c r="T17" s="411">
        <f>T19/AD19</f>
        <v>0</v>
      </c>
      <c r="U17" s="411">
        <f>U19/AD19</f>
        <v>0</v>
      </c>
      <c r="V17" s="411">
        <f>V19/AD19</f>
        <v>0</v>
      </c>
      <c r="W17" s="411">
        <f>W19/AD19</f>
        <v>0</v>
      </c>
      <c r="X17" s="319">
        <f>X19/AD19</f>
        <v>0</v>
      </c>
      <c r="Y17" s="319">
        <f>Y19/AD19</f>
        <v>0</v>
      </c>
      <c r="Z17" s="319">
        <f>Z19/AD19</f>
        <v>0</v>
      </c>
      <c r="AA17" s="319">
        <f>AA19/AD19</f>
        <v>0</v>
      </c>
      <c r="AB17" s="319">
        <f>AB19/AD19</f>
        <v>0.17705334551120519</v>
      </c>
      <c r="AC17" s="319"/>
      <c r="AD17" s="288">
        <f>SUM(E17:AB17)</f>
        <v>0.99999999999999989</v>
      </c>
      <c r="AE17" s="220"/>
      <c r="AF17" s="186"/>
    </row>
    <row r="18" spans="2:32" ht="39" customHeight="1">
      <c r="B18" s="188"/>
      <c r="C18" s="189" t="s">
        <v>208</v>
      </c>
      <c r="D18" s="183"/>
      <c r="E18" s="318">
        <f>E17</f>
        <v>0</v>
      </c>
      <c r="F18" s="318">
        <f>E18+F17</f>
        <v>2.8360315602368354E-2</v>
      </c>
      <c r="G18" s="318">
        <f>F18+G17</f>
        <v>0.27687594017383627</v>
      </c>
      <c r="H18" s="318">
        <f t="shared" ref="H18:U18" si="1">G18+H17</f>
        <v>0.47246584280022769</v>
      </c>
      <c r="I18" s="318">
        <f t="shared" si="1"/>
        <v>0.5174717822510867</v>
      </c>
      <c r="J18" s="318">
        <f t="shared" si="1"/>
        <v>0.61929673966365595</v>
      </c>
      <c r="K18" s="318">
        <f t="shared" si="1"/>
        <v>0.61929673966365595</v>
      </c>
      <c r="L18" s="318">
        <f t="shared" si="1"/>
        <v>0.61929673966365595</v>
      </c>
      <c r="M18" s="318">
        <f t="shared" si="1"/>
        <v>0.72112169707622531</v>
      </c>
      <c r="N18" s="318">
        <f t="shared" si="1"/>
        <v>0.72112169707622531</v>
      </c>
      <c r="O18" s="318">
        <f t="shared" si="1"/>
        <v>0.72112169707622531</v>
      </c>
      <c r="P18" s="318">
        <f t="shared" si="1"/>
        <v>0.82294665448879467</v>
      </c>
      <c r="Q18" s="318">
        <f t="shared" si="1"/>
        <v>0.82294665448879467</v>
      </c>
      <c r="R18" s="318">
        <f t="shared" si="1"/>
        <v>0.82294665448879467</v>
      </c>
      <c r="S18" s="318">
        <f t="shared" si="1"/>
        <v>0.82294665448879467</v>
      </c>
      <c r="T18" s="318">
        <f t="shared" si="1"/>
        <v>0.82294665448879467</v>
      </c>
      <c r="U18" s="318">
        <f t="shared" si="1"/>
        <v>0.82294665448879467</v>
      </c>
      <c r="V18" s="318">
        <f>U18+V17</f>
        <v>0.82294665448879467</v>
      </c>
      <c r="W18" s="318">
        <f t="shared" ref="W18:AB18" si="2">V18+W17</f>
        <v>0.82294665448879467</v>
      </c>
      <c r="X18" s="318">
        <f t="shared" si="2"/>
        <v>0.82294665448879467</v>
      </c>
      <c r="Y18" s="318">
        <f t="shared" si="2"/>
        <v>0.82294665448879467</v>
      </c>
      <c r="Z18" s="318">
        <f t="shared" si="2"/>
        <v>0.82294665448879467</v>
      </c>
      <c r="AA18" s="318">
        <f t="shared" si="2"/>
        <v>0.82294665448879467</v>
      </c>
      <c r="AB18" s="318">
        <f t="shared" si="2"/>
        <v>0.99999999999999989</v>
      </c>
      <c r="AC18" s="312"/>
      <c r="AD18" s="285"/>
      <c r="AE18" s="409">
        <f>SUM(AD9:AD15)</f>
        <v>1275831.4883034842</v>
      </c>
      <c r="AF18" s="186"/>
    </row>
    <row r="19" spans="2:32" ht="63" customHeight="1" thickBot="1">
      <c r="B19" s="639" t="s">
        <v>171</v>
      </c>
      <c r="C19" s="640"/>
      <c r="D19" s="182"/>
      <c r="E19" s="320">
        <f t="shared" ref="E19:AC19" si="3">SUM(E9:E15)</f>
        <v>0</v>
      </c>
      <c r="F19" s="320">
        <f t="shared" si="3"/>
        <v>36182.98366372614</v>
      </c>
      <c r="G19" s="320">
        <f t="shared" si="3"/>
        <v>317064.05916368583</v>
      </c>
      <c r="H19" s="320">
        <f t="shared" si="3"/>
        <v>249539.7565649625</v>
      </c>
      <c r="I19" s="320">
        <f t="shared" si="3"/>
        <v>57419.994712085914</v>
      </c>
      <c r="J19" s="320">
        <f t="shared" si="3"/>
        <v>129911.4869621172</v>
      </c>
      <c r="K19" s="320">
        <f t="shared" si="3"/>
        <v>0</v>
      </c>
      <c r="L19" s="320">
        <f t="shared" si="3"/>
        <v>0</v>
      </c>
      <c r="M19" s="320">
        <f t="shared" si="3"/>
        <v>129911.4869621172</v>
      </c>
      <c r="N19" s="320">
        <f t="shared" si="3"/>
        <v>0</v>
      </c>
      <c r="O19" s="320">
        <f t="shared" si="3"/>
        <v>0</v>
      </c>
      <c r="P19" s="320">
        <f t="shared" si="3"/>
        <v>129911.4869621172</v>
      </c>
      <c r="Q19" s="320">
        <f t="shared" si="3"/>
        <v>0</v>
      </c>
      <c r="R19" s="320">
        <f t="shared" si="3"/>
        <v>0</v>
      </c>
      <c r="S19" s="320">
        <f t="shared" si="3"/>
        <v>0</v>
      </c>
      <c r="T19" s="320">
        <f t="shared" si="3"/>
        <v>0</v>
      </c>
      <c r="U19" s="320">
        <f t="shared" si="3"/>
        <v>0</v>
      </c>
      <c r="V19" s="320">
        <f t="shared" si="3"/>
        <v>0</v>
      </c>
      <c r="W19" s="320">
        <f t="shared" si="3"/>
        <v>0</v>
      </c>
      <c r="X19" s="320">
        <f t="shared" si="3"/>
        <v>0</v>
      </c>
      <c r="Y19" s="320">
        <f t="shared" si="3"/>
        <v>0</v>
      </c>
      <c r="Z19" s="320">
        <f t="shared" si="3"/>
        <v>0</v>
      </c>
      <c r="AA19" s="320">
        <f t="shared" si="3"/>
        <v>0</v>
      </c>
      <c r="AB19" s="320">
        <f t="shared" si="3"/>
        <v>225890.23331267192</v>
      </c>
      <c r="AC19" s="320">
        <f t="shared" si="3"/>
        <v>0.99999999999999978</v>
      </c>
      <c r="AD19" s="217">
        <f>ORÇAMENTO!K31</f>
        <v>1275831.4883034842</v>
      </c>
      <c r="AE19" s="400">
        <f>SUM(E19:AB19)</f>
        <v>1275831.4883034842</v>
      </c>
      <c r="AF19" s="180"/>
    </row>
    <row r="22" spans="2:32">
      <c r="D22" s="180"/>
      <c r="AE22" s="180"/>
    </row>
  </sheetData>
  <mergeCells count="12">
    <mergeCell ref="AE4:AW4"/>
    <mergeCell ref="AE5:AW5"/>
    <mergeCell ref="B19:C19"/>
    <mergeCell ref="B7:C8"/>
    <mergeCell ref="AD4:AD5"/>
    <mergeCell ref="D4:AC4"/>
    <mergeCell ref="B2:AD2"/>
    <mergeCell ref="B5:C5"/>
    <mergeCell ref="D5:AC5"/>
    <mergeCell ref="B3:AC3"/>
    <mergeCell ref="D7:AC7"/>
    <mergeCell ref="D6:AC6"/>
  </mergeCells>
  <pageMargins left="0.51181102362204722" right="0.51181102362204722" top="0.78740157480314965" bottom="0.78740157480314965" header="0.31496062992125984" footer="0.31496062992125984"/>
  <pageSetup paperSize="9" scale="49" orientation="portrait" horizontalDpi="300" verticalDpi="300" r:id="rId1"/>
  <colBreaks count="1" manualBreakCount="1">
    <brk id="3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M88"/>
  <sheetViews>
    <sheetView topLeftCell="A7" zoomScaleNormal="100" zoomScaleSheetLayoutView="100" workbookViewId="0">
      <selection activeCell="B25" sqref="B25"/>
    </sheetView>
  </sheetViews>
  <sheetFormatPr defaultColWidth="11.42578125" defaultRowHeight="12.75"/>
  <cols>
    <col min="1" max="1" width="2.42578125" customWidth="1"/>
    <col min="2" max="2" width="77.42578125" customWidth="1"/>
    <col min="3" max="3" width="9.85546875" customWidth="1"/>
    <col min="4" max="4" width="7.42578125" style="1" customWidth="1"/>
    <col min="5" max="5" width="10.7109375" hidden="1" customWidth="1"/>
    <col min="6" max="6" width="11.85546875" hidden="1" customWidth="1"/>
    <col min="7" max="7" width="16.5703125" style="1" customWidth="1"/>
    <col min="8" max="8" width="8.5703125" customWidth="1"/>
    <col min="9" max="9" width="11.140625" customWidth="1"/>
    <col min="10" max="10" width="18.28515625" customWidth="1"/>
    <col min="11" max="11" width="22" style="5" customWidth="1"/>
    <col min="12" max="12" width="16.42578125" customWidth="1"/>
    <col min="13" max="13" width="17.42578125" customWidth="1"/>
    <col min="14" max="14" width="17" customWidth="1"/>
    <col min="15" max="15" width="18.7109375" customWidth="1"/>
    <col min="16" max="16" width="12.42578125" customWidth="1"/>
    <col min="17" max="17" width="14.5703125" customWidth="1"/>
  </cols>
  <sheetData>
    <row r="1" spans="2:12" ht="13.5" thickBot="1"/>
    <row r="2" spans="2:12" ht="21" customHeight="1">
      <c r="B2" s="692" t="str">
        <f>DADOS!D27</f>
        <v>LICENCIAMENTO AMBIENTAL - BR-158/MT</v>
      </c>
      <c r="C2" s="693"/>
      <c r="D2" s="693"/>
      <c r="E2" s="693"/>
      <c r="F2" s="693"/>
      <c r="G2" s="693"/>
      <c r="H2" s="693"/>
      <c r="I2" s="693"/>
      <c r="J2" s="693"/>
      <c r="K2" s="694"/>
    </row>
    <row r="3" spans="2:12" ht="15" customHeight="1">
      <c r="B3" s="695" t="s">
        <v>590</v>
      </c>
      <c r="C3" s="696"/>
      <c r="D3" s="696"/>
      <c r="E3" s="696"/>
      <c r="F3" s="696"/>
      <c r="G3" s="696"/>
      <c r="H3" s="696"/>
      <c r="I3" s="696"/>
      <c r="J3" s="696"/>
      <c r="K3" s="551"/>
    </row>
    <row r="4" spans="2:12">
      <c r="B4" s="206">
        <f>DADOS!E30</f>
        <v>43831</v>
      </c>
      <c r="C4" s="605"/>
      <c r="D4" s="605"/>
      <c r="E4" s="605"/>
      <c r="F4" s="605"/>
      <c r="G4" s="605"/>
      <c r="H4" s="605"/>
      <c r="I4" s="605"/>
      <c r="J4" s="605"/>
      <c r="K4" s="697"/>
    </row>
    <row r="5" spans="2:12" s="2" customFormat="1" ht="39" customHeight="1">
      <c r="B5" s="263" t="s">
        <v>62</v>
      </c>
      <c r="C5" s="698"/>
      <c r="D5" s="699"/>
      <c r="E5" s="699"/>
      <c r="F5" s="699"/>
      <c r="G5" s="699"/>
      <c r="H5" s="700"/>
      <c r="I5" s="534" t="s">
        <v>48</v>
      </c>
      <c r="J5" s="534" t="s">
        <v>313</v>
      </c>
      <c r="K5" s="102" t="s">
        <v>65</v>
      </c>
    </row>
    <row r="6" spans="2:12" s="3" customFormat="1" ht="28.5" customHeight="1">
      <c r="B6" s="103"/>
      <c r="C6" s="689"/>
      <c r="D6" s="690"/>
      <c r="E6" s="690"/>
      <c r="F6" s="690"/>
      <c r="G6" s="690"/>
      <c r="H6" s="691"/>
      <c r="I6" s="104" t="s">
        <v>64</v>
      </c>
      <c r="J6" s="104" t="s">
        <v>312</v>
      </c>
      <c r="K6" s="102" t="s">
        <v>314</v>
      </c>
    </row>
    <row r="7" spans="2:12" ht="36.75" customHeight="1">
      <c r="B7" s="207" t="s">
        <v>582</v>
      </c>
      <c r="C7" s="208"/>
      <c r="D7" s="210"/>
      <c r="E7" s="208"/>
      <c r="F7" s="208"/>
      <c r="G7" s="209"/>
      <c r="H7" s="208"/>
      <c r="I7" s="208"/>
      <c r="J7" s="208"/>
      <c r="K7" s="257"/>
      <c r="L7" s="7"/>
    </row>
    <row r="8" spans="2:12">
      <c r="B8" s="112" t="s">
        <v>583</v>
      </c>
      <c r="C8" s="82"/>
      <c r="D8" s="68"/>
      <c r="E8" s="82"/>
      <c r="F8" s="82"/>
      <c r="G8" s="164"/>
      <c r="H8" s="83"/>
      <c r="I8" s="68" t="s">
        <v>48</v>
      </c>
      <c r="J8" s="68" t="s">
        <v>50</v>
      </c>
      <c r="K8" s="258" t="s">
        <v>139</v>
      </c>
      <c r="L8" s="7"/>
    </row>
    <row r="9" spans="2:12">
      <c r="B9" s="532" t="s">
        <v>300</v>
      </c>
      <c r="C9" s="72"/>
      <c r="D9" s="533"/>
      <c r="E9" s="72"/>
      <c r="F9" s="72"/>
      <c r="G9" s="107"/>
      <c r="H9" s="72"/>
      <c r="I9" s="85">
        <v>1</v>
      </c>
      <c r="J9" s="165">
        <f>'CENTRAL-Campanhas de Fauna'!I71</f>
        <v>519645.94784846879</v>
      </c>
      <c r="K9" s="259">
        <f>J9*I9</f>
        <v>519645.94784846879</v>
      </c>
      <c r="L9">
        <v>48</v>
      </c>
    </row>
    <row r="10" spans="2:12">
      <c r="B10" s="532"/>
      <c r="C10" s="72"/>
      <c r="D10" s="533"/>
      <c r="E10" s="72"/>
      <c r="F10" s="72"/>
      <c r="G10" s="107"/>
      <c r="H10" s="72"/>
      <c r="I10" s="85"/>
      <c r="J10" s="165"/>
      <c r="K10" s="259"/>
    </row>
    <row r="11" spans="2:12">
      <c r="B11" s="112" t="s">
        <v>584</v>
      </c>
      <c r="C11" s="82"/>
      <c r="D11" s="68"/>
      <c r="E11" s="82"/>
      <c r="F11" s="82"/>
      <c r="G11" s="164"/>
      <c r="H11" s="83"/>
      <c r="I11" s="68" t="s">
        <v>48</v>
      </c>
      <c r="J11" s="68" t="s">
        <v>50</v>
      </c>
      <c r="K11" s="250" t="s">
        <v>139</v>
      </c>
    </row>
    <row r="12" spans="2:12">
      <c r="B12" s="532" t="s">
        <v>300</v>
      </c>
      <c r="C12" s="72"/>
      <c r="D12" s="533"/>
      <c r="E12" s="72"/>
      <c r="F12" s="72"/>
      <c r="G12" s="107"/>
      <c r="H12" s="72"/>
      <c r="I12" s="85">
        <v>1</v>
      </c>
      <c r="J12" s="165">
        <f>'CENTRAL-Invent. Florestal - ASV'!I53</f>
        <v>130271.143323392</v>
      </c>
      <c r="K12" s="282">
        <f>J12*I12</f>
        <v>130271.143323392</v>
      </c>
      <c r="L12">
        <v>51</v>
      </c>
    </row>
    <row r="13" spans="2:12">
      <c r="B13" s="239"/>
      <c r="C13" s="240"/>
      <c r="D13" s="237"/>
      <c r="E13" s="240"/>
      <c r="F13" s="240"/>
      <c r="G13" s="241"/>
      <c r="H13" s="240"/>
      <c r="I13" s="238"/>
      <c r="J13" s="242"/>
      <c r="K13" s="243"/>
    </row>
    <row r="14" spans="2:12">
      <c r="B14" s="112" t="s">
        <v>585</v>
      </c>
      <c r="C14" s="82"/>
      <c r="D14" s="68"/>
      <c r="E14" s="82"/>
      <c r="F14" s="82"/>
      <c r="G14" s="164"/>
      <c r="H14" s="83"/>
      <c r="I14" s="68" t="s">
        <v>48</v>
      </c>
      <c r="J14" s="68" t="s">
        <v>50</v>
      </c>
      <c r="K14" s="108" t="s">
        <v>139</v>
      </c>
    </row>
    <row r="15" spans="2:12">
      <c r="B15" s="532" t="s">
        <v>300</v>
      </c>
      <c r="C15" s="72"/>
      <c r="D15" s="533"/>
      <c r="E15" s="72"/>
      <c r="F15" s="72"/>
      <c r="G15" s="107"/>
      <c r="H15" s="72"/>
      <c r="I15" s="85">
        <v>1</v>
      </c>
      <c r="J15" s="165">
        <f>'CENTRAL-PBA'!I62</f>
        <v>249539.7565649625</v>
      </c>
      <c r="K15" s="125">
        <f>J15*I15</f>
        <v>249539.7565649625</v>
      </c>
      <c r="L15">
        <v>54</v>
      </c>
    </row>
    <row r="16" spans="2:12">
      <c r="B16" s="531"/>
      <c r="C16" s="252"/>
      <c r="D16" s="530"/>
      <c r="E16" s="252"/>
      <c r="F16" s="252"/>
      <c r="G16" s="253"/>
      <c r="H16" s="252"/>
      <c r="I16" s="254"/>
      <c r="J16" s="255"/>
      <c r="K16" s="256"/>
    </row>
    <row r="17" spans="2:12">
      <c r="B17" s="112" t="s">
        <v>586</v>
      </c>
      <c r="C17" s="82"/>
      <c r="D17" s="68"/>
      <c r="E17" s="82"/>
      <c r="F17" s="82"/>
      <c r="G17" s="164"/>
      <c r="H17" s="83"/>
      <c r="I17" s="68" t="s">
        <v>48</v>
      </c>
      <c r="J17" s="68" t="s">
        <v>50</v>
      </c>
      <c r="K17" s="108" t="s">
        <v>139</v>
      </c>
    </row>
    <row r="18" spans="2:12">
      <c r="B18" s="532" t="s">
        <v>300</v>
      </c>
      <c r="C18" s="72"/>
      <c r="D18" s="533"/>
      <c r="E18" s="72"/>
      <c r="F18" s="72"/>
      <c r="G18" s="107"/>
      <c r="H18" s="72"/>
      <c r="I18" s="85">
        <v>1</v>
      </c>
      <c r="J18" s="165">
        <f>'CENTRAL-Malarígeno'!I53</f>
        <v>36182.98366372614</v>
      </c>
      <c r="K18" s="125">
        <f>J18*I18</f>
        <v>36182.98366372614</v>
      </c>
      <c r="L18">
        <v>57</v>
      </c>
    </row>
    <row r="19" spans="2:12">
      <c r="B19" s="531"/>
      <c r="C19" s="252"/>
      <c r="D19" s="530"/>
      <c r="E19" s="252"/>
      <c r="F19" s="252"/>
      <c r="G19" s="253"/>
      <c r="H19" s="252"/>
      <c r="I19" s="254"/>
      <c r="J19" s="255"/>
      <c r="K19" s="256"/>
      <c r="L19" s="7"/>
    </row>
    <row r="20" spans="2:12">
      <c r="B20" s="112" t="s">
        <v>587</v>
      </c>
      <c r="C20" s="82"/>
      <c r="D20" s="68"/>
      <c r="E20" s="82"/>
      <c r="F20" s="82"/>
      <c r="G20" s="164"/>
      <c r="H20" s="83"/>
      <c r="I20" s="68" t="s">
        <v>48</v>
      </c>
      <c r="J20" s="68" t="s">
        <v>50</v>
      </c>
      <c r="K20" s="108" t="s">
        <v>139</v>
      </c>
    </row>
    <row r="21" spans="2:12">
      <c r="B21" s="532" t="s">
        <v>300</v>
      </c>
      <c r="C21" s="72"/>
      <c r="D21" s="533"/>
      <c r="E21" s="72"/>
      <c r="F21" s="72"/>
      <c r="G21" s="107"/>
      <c r="H21" s="72"/>
      <c r="I21" s="85">
        <v>1</v>
      </c>
      <c r="J21" s="165">
        <f>'CENTRAL-Projeto Arqueológico'!I52</f>
        <v>57419.994712085914</v>
      </c>
      <c r="K21" s="125">
        <f>J21*I21</f>
        <v>57419.994712085914</v>
      </c>
      <c r="L21">
        <v>60</v>
      </c>
    </row>
    <row r="22" spans="2:12">
      <c r="B22" s="531"/>
      <c r="C22" s="252"/>
      <c r="D22" s="530"/>
      <c r="E22" s="252"/>
      <c r="F22" s="252"/>
      <c r="G22" s="253"/>
      <c r="H22" s="252"/>
      <c r="I22" s="254"/>
      <c r="J22" s="255"/>
      <c r="K22" s="256"/>
    </row>
    <row r="23" spans="2:12">
      <c r="B23" s="112" t="s">
        <v>588</v>
      </c>
      <c r="C23" s="82"/>
      <c r="D23" s="68"/>
      <c r="E23" s="82"/>
      <c r="F23" s="82"/>
      <c r="G23" s="164"/>
      <c r="H23" s="83"/>
      <c r="I23" s="68" t="s">
        <v>48</v>
      </c>
      <c r="J23" s="68" t="s">
        <v>50</v>
      </c>
      <c r="K23" s="108" t="s">
        <v>139</v>
      </c>
    </row>
    <row r="24" spans="2:12">
      <c r="B24" s="532" t="s">
        <v>300</v>
      </c>
      <c r="C24" s="72"/>
      <c r="D24" s="533"/>
      <c r="E24" s="72"/>
      <c r="F24" s="72"/>
      <c r="G24" s="107"/>
      <c r="H24" s="72"/>
      <c r="I24" s="85">
        <v>1</v>
      </c>
      <c r="J24" s="165">
        <f>'CENTRAL-PBAI'!I65</f>
        <v>225890.23331267192</v>
      </c>
      <c r="K24" s="125">
        <f>J24*I24</f>
        <v>225890.23331267192</v>
      </c>
      <c r="L24">
        <v>63</v>
      </c>
    </row>
    <row r="25" spans="2:12">
      <c r="B25" s="531"/>
      <c r="C25" s="252"/>
      <c r="D25" s="530"/>
      <c r="E25" s="252"/>
      <c r="F25" s="252"/>
      <c r="G25" s="253"/>
      <c r="H25" s="252"/>
      <c r="I25" s="254"/>
      <c r="J25" s="255"/>
      <c r="K25" s="256"/>
    </row>
    <row r="26" spans="2:12">
      <c r="B26" s="112" t="s">
        <v>589</v>
      </c>
      <c r="C26" s="82"/>
      <c r="D26" s="68"/>
      <c r="E26" s="82"/>
      <c r="F26" s="82"/>
      <c r="G26" s="164"/>
      <c r="H26" s="83"/>
      <c r="I26" s="68" t="s">
        <v>48</v>
      </c>
      <c r="J26" s="68" t="s">
        <v>50</v>
      </c>
      <c r="K26" s="108" t="s">
        <v>139</v>
      </c>
    </row>
    <row r="27" spans="2:12">
      <c r="B27" s="532" t="s">
        <v>300</v>
      </c>
      <c r="C27" s="72"/>
      <c r="D27" s="533"/>
      <c r="E27" s="72"/>
      <c r="F27" s="72"/>
      <c r="G27" s="107"/>
      <c r="H27" s="72"/>
      <c r="I27" s="85">
        <v>1</v>
      </c>
      <c r="J27" s="165">
        <f>'CENTRAL-OUTORGA'!I49</f>
        <v>56881.42887817663</v>
      </c>
      <c r="K27" s="125">
        <f>J27*I27</f>
        <v>56881.42887817663</v>
      </c>
      <c r="L27">
        <v>66</v>
      </c>
    </row>
    <row r="28" spans="2:12" ht="13.5" thickBot="1">
      <c r="B28" s="531"/>
      <c r="C28" s="252"/>
      <c r="D28" s="530"/>
      <c r="E28" s="252"/>
      <c r="F28" s="252"/>
      <c r="G28" s="253"/>
      <c r="H28" s="252"/>
      <c r="I28" s="254"/>
      <c r="J28" s="255"/>
      <c r="K28" s="541"/>
      <c r="L28" s="7"/>
    </row>
    <row r="29" spans="2:12" ht="13.5" thickBot="1">
      <c r="B29" s="394" t="s">
        <v>302</v>
      </c>
      <c r="C29" s="252"/>
      <c r="D29" s="530"/>
      <c r="E29" s="252"/>
      <c r="F29" s="252"/>
      <c r="G29" s="253"/>
      <c r="H29" s="252"/>
      <c r="I29" s="254"/>
      <c r="J29" s="255"/>
      <c r="K29" s="543">
        <f>K9+K12+K15+K18+K21+K24+K27</f>
        <v>1275831.4883034842</v>
      </c>
      <c r="L29">
        <v>68</v>
      </c>
    </row>
    <row r="30" spans="2:12" ht="13.5" thickBot="1">
      <c r="B30" s="686"/>
      <c r="C30" s="687"/>
      <c r="D30" s="687"/>
      <c r="E30" s="687"/>
      <c r="F30" s="687"/>
      <c r="G30" s="687"/>
      <c r="H30" s="687"/>
      <c r="I30" s="687"/>
      <c r="J30" s="687"/>
      <c r="K30" s="688"/>
      <c r="L30" s="7"/>
    </row>
    <row r="31" spans="2:12" ht="16.5" customHeight="1" thickBot="1">
      <c r="B31" s="74" t="s">
        <v>152</v>
      </c>
      <c r="C31" s="73"/>
      <c r="D31" s="529"/>
      <c r="E31" s="73"/>
      <c r="F31" s="73"/>
      <c r="G31" s="105"/>
      <c r="H31" s="73"/>
      <c r="I31" s="106"/>
      <c r="J31" s="540"/>
      <c r="K31" s="542">
        <f>K29</f>
        <v>1275831.4883034842</v>
      </c>
      <c r="L31" s="126"/>
    </row>
    <row r="32" spans="2:12" ht="8.25" customHeight="1">
      <c r="B32" s="119"/>
      <c r="C32" s="96"/>
      <c r="D32" s="84"/>
      <c r="E32" s="96"/>
      <c r="F32" s="96"/>
      <c r="G32" s="109"/>
      <c r="H32" s="96"/>
      <c r="I32" s="96"/>
      <c r="J32" s="96"/>
      <c r="K32" s="110"/>
    </row>
    <row r="33" spans="2:13" ht="15.75" customHeight="1">
      <c r="B33" s="119" t="s">
        <v>301</v>
      </c>
      <c r="C33" s="96"/>
      <c r="D33" s="84"/>
      <c r="E33" s="96"/>
      <c r="F33" s="96"/>
      <c r="G33" s="109"/>
      <c r="H33" s="96"/>
      <c r="I33" s="96"/>
      <c r="J33" s="96"/>
      <c r="K33" s="110"/>
    </row>
    <row r="34" spans="2:13" ht="15.75" customHeight="1">
      <c r="B34" s="118" t="s">
        <v>591</v>
      </c>
      <c r="C34" s="96"/>
      <c r="D34" s="84"/>
      <c r="E34" s="96"/>
      <c r="F34" s="96"/>
      <c r="G34" s="109"/>
      <c r="H34" s="96"/>
      <c r="I34" s="96"/>
      <c r="J34" s="96"/>
      <c r="K34" s="110"/>
    </row>
    <row r="35" spans="2:13" ht="10.5" customHeight="1" thickBot="1">
      <c r="B35" s="535"/>
      <c r="C35" s="149"/>
      <c r="D35" s="536"/>
      <c r="E35" s="149"/>
      <c r="F35" s="149"/>
      <c r="G35" s="537"/>
      <c r="H35" s="149"/>
      <c r="I35" s="149"/>
      <c r="J35" s="149"/>
      <c r="K35" s="538"/>
    </row>
    <row r="36" spans="2:13">
      <c r="C36" s="113"/>
      <c r="G36" s="4"/>
      <c r="M36" s="251"/>
    </row>
    <row r="37" spans="2:13">
      <c r="G37" s="4"/>
      <c r="J37" s="113"/>
      <c r="L37" s="113"/>
      <c r="M37" s="251"/>
    </row>
    <row r="38" spans="2:13">
      <c r="G38" s="4"/>
      <c r="J38" s="113"/>
      <c r="L38" s="113"/>
    </row>
    <row r="39" spans="2:13">
      <c r="G39" s="4"/>
    </row>
    <row r="40" spans="2:13">
      <c r="G40" s="4"/>
    </row>
    <row r="41" spans="2:13">
      <c r="G41" s="4"/>
    </row>
    <row r="42" spans="2:13">
      <c r="G42" s="4"/>
    </row>
    <row r="43" spans="2:13">
      <c r="G43" s="4"/>
    </row>
    <row r="44" spans="2:13">
      <c r="G44" s="4"/>
    </row>
    <row r="45" spans="2:13">
      <c r="G45" s="4"/>
    </row>
    <row r="46" spans="2:13">
      <c r="G46" s="4"/>
    </row>
    <row r="47" spans="2:13">
      <c r="G47" s="4"/>
    </row>
    <row r="48" spans="2:13">
      <c r="G48" s="4"/>
    </row>
    <row r="49" spans="4:11">
      <c r="D49"/>
      <c r="G49" s="4"/>
      <c r="K49"/>
    </row>
    <row r="50" spans="4:11">
      <c r="D50"/>
      <c r="G50" s="4"/>
      <c r="K50"/>
    </row>
    <row r="51" spans="4:11">
      <c r="D51"/>
      <c r="G51" s="4"/>
      <c r="K51"/>
    </row>
    <row r="52" spans="4:11">
      <c r="D52"/>
      <c r="G52" s="4"/>
      <c r="K52"/>
    </row>
    <row r="53" spans="4:11">
      <c r="D53"/>
      <c r="G53" s="4"/>
      <c r="K53"/>
    </row>
    <row r="54" spans="4:11">
      <c r="D54"/>
      <c r="G54" s="4"/>
      <c r="K54"/>
    </row>
    <row r="55" spans="4:11">
      <c r="D55"/>
      <c r="G55" s="4"/>
      <c r="K55"/>
    </row>
    <row r="56" spans="4:11">
      <c r="D56"/>
      <c r="G56" s="4"/>
      <c r="K56"/>
    </row>
    <row r="57" spans="4:11">
      <c r="D57"/>
      <c r="G57" s="4"/>
      <c r="K57"/>
    </row>
    <row r="58" spans="4:11">
      <c r="D58"/>
      <c r="G58" s="4"/>
      <c r="K58"/>
    </row>
    <row r="59" spans="4:11">
      <c r="D59"/>
      <c r="G59" s="4"/>
      <c r="K59"/>
    </row>
    <row r="60" spans="4:11">
      <c r="D60"/>
      <c r="G60" s="4"/>
      <c r="K60"/>
    </row>
    <row r="61" spans="4:11">
      <c r="D61"/>
      <c r="G61" s="4"/>
      <c r="K61"/>
    </row>
    <row r="62" spans="4:11">
      <c r="D62"/>
      <c r="G62" s="4"/>
      <c r="K62"/>
    </row>
    <row r="63" spans="4:11">
      <c r="D63"/>
      <c r="G63" s="4"/>
      <c r="K63"/>
    </row>
    <row r="64" spans="4:11">
      <c r="D64"/>
      <c r="G64" s="4"/>
      <c r="K64"/>
    </row>
    <row r="65" spans="4:11">
      <c r="D65"/>
      <c r="G65" s="4"/>
      <c r="K65"/>
    </row>
    <row r="66" spans="4:11">
      <c r="D66"/>
      <c r="G66" s="4"/>
      <c r="K66"/>
    </row>
    <row r="67" spans="4:11">
      <c r="D67"/>
      <c r="G67" s="4"/>
      <c r="K67"/>
    </row>
    <row r="68" spans="4:11">
      <c r="D68"/>
      <c r="G68" s="4"/>
      <c r="K68"/>
    </row>
    <row r="69" spans="4:11">
      <c r="D69"/>
      <c r="G69" s="4"/>
      <c r="K69"/>
    </row>
    <row r="70" spans="4:11">
      <c r="D70"/>
      <c r="G70" s="4"/>
      <c r="K70"/>
    </row>
    <row r="71" spans="4:11">
      <c r="D71"/>
      <c r="G71" s="4"/>
      <c r="K71"/>
    </row>
    <row r="72" spans="4:11">
      <c r="D72"/>
      <c r="G72" s="4"/>
      <c r="K72"/>
    </row>
    <row r="73" spans="4:11">
      <c r="D73"/>
      <c r="G73" s="4"/>
      <c r="K73"/>
    </row>
    <row r="74" spans="4:11">
      <c r="D74"/>
      <c r="G74" s="4"/>
      <c r="K74"/>
    </row>
    <row r="75" spans="4:11">
      <c r="D75"/>
      <c r="G75" s="4"/>
      <c r="K75"/>
    </row>
    <row r="76" spans="4:11">
      <c r="D76"/>
      <c r="G76" s="4"/>
      <c r="K76"/>
    </row>
    <row r="77" spans="4:11">
      <c r="D77"/>
      <c r="G77" s="4"/>
      <c r="K77"/>
    </row>
    <row r="78" spans="4:11">
      <c r="D78"/>
      <c r="G78" s="4"/>
      <c r="K78"/>
    </row>
    <row r="79" spans="4:11">
      <c r="D79"/>
      <c r="G79" s="4"/>
      <c r="K79"/>
    </row>
    <row r="80" spans="4:11">
      <c r="D80"/>
      <c r="G80" s="4"/>
      <c r="K80"/>
    </row>
    <row r="81" spans="4:11">
      <c r="D81"/>
      <c r="G81" s="4"/>
      <c r="K81"/>
    </row>
    <row r="82" spans="4:11">
      <c r="D82"/>
      <c r="G82" s="4"/>
      <c r="K82"/>
    </row>
    <row r="83" spans="4:11">
      <c r="D83"/>
      <c r="G83" s="4"/>
      <c r="K83"/>
    </row>
    <row r="84" spans="4:11">
      <c r="D84"/>
      <c r="G84" s="4"/>
      <c r="K84"/>
    </row>
    <row r="85" spans="4:11">
      <c r="D85"/>
      <c r="G85" s="4"/>
      <c r="K85"/>
    </row>
    <row r="86" spans="4:11">
      <c r="D86"/>
      <c r="G86" s="4"/>
      <c r="K86"/>
    </row>
    <row r="87" spans="4:11">
      <c r="D87"/>
      <c r="G87" s="4"/>
      <c r="K87"/>
    </row>
    <row r="88" spans="4:11">
      <c r="D88"/>
      <c r="G88" s="4"/>
      <c r="K88"/>
    </row>
  </sheetData>
  <mergeCells count="6">
    <mergeCell ref="B30:K30"/>
    <mergeCell ref="C6:H6"/>
    <mergeCell ref="B2:K2"/>
    <mergeCell ref="B3:K3"/>
    <mergeCell ref="C4:K4"/>
    <mergeCell ref="C5:H5"/>
  </mergeCells>
  <pageMargins left="0.51181102362204722" right="0.51181102362204722" top="0.78740157480314965" bottom="0.78740157480314965" header="0.31496062992125984" footer="0.31496062992125984"/>
  <pageSetup paperSize="8" scale="7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7"/>
  <sheetViews>
    <sheetView topLeftCell="A46" zoomScaleNormal="100" workbookViewId="0">
      <selection activeCell="I62" sqref="I62"/>
    </sheetView>
  </sheetViews>
  <sheetFormatPr defaultRowHeight="12.75"/>
  <cols>
    <col min="1" max="1" width="4.85546875" style="264" customWidth="1"/>
    <col min="2" max="2" width="60" style="264" customWidth="1"/>
    <col min="3" max="3" width="6.5703125" style="264" customWidth="1"/>
    <col min="4" max="4" width="10" style="264" customWidth="1"/>
    <col min="5" max="6" width="9.140625" style="264"/>
    <col min="7" max="7" width="10.85546875" style="264" customWidth="1"/>
    <col min="8" max="8" width="13.5703125" style="264" customWidth="1"/>
    <col min="9" max="9" width="16.5703125" style="264" customWidth="1"/>
    <col min="10" max="16384" width="9.140625" style="264"/>
  </cols>
  <sheetData>
    <row r="1" spans="2:9" ht="13.5" thickBot="1">
      <c r="B1" s="736"/>
      <c r="C1" s="736"/>
      <c r="D1" s="736"/>
      <c r="E1" s="736"/>
      <c r="F1" s="736"/>
      <c r="G1" s="736"/>
      <c r="H1" s="736"/>
      <c r="I1" s="736"/>
    </row>
    <row r="2" spans="2:9" ht="20.25" customHeight="1">
      <c r="B2" s="737" t="str">
        <f>DADOS!D28</f>
        <v>TRECHO CONTORNO LESTE DA BR-158/MT - REQUERIMENTO DE LI</v>
      </c>
      <c r="C2" s="738"/>
      <c r="D2" s="738"/>
      <c r="E2" s="738"/>
      <c r="F2" s="738"/>
      <c r="G2" s="738"/>
      <c r="H2" s="738"/>
      <c r="I2" s="739"/>
    </row>
    <row r="3" spans="2:9" ht="16.5" customHeight="1">
      <c r="B3" s="740" t="s">
        <v>315</v>
      </c>
      <c r="C3" s="741"/>
      <c r="D3" s="741"/>
      <c r="E3" s="741"/>
      <c r="F3" s="741"/>
      <c r="G3" s="741"/>
      <c r="H3" s="741"/>
      <c r="I3" s="742"/>
    </row>
    <row r="4" spans="2:9">
      <c r="B4" s="281">
        <f>DADOS!E30</f>
        <v>43831</v>
      </c>
      <c r="C4" s="743"/>
      <c r="D4" s="744"/>
      <c r="E4" s="744"/>
      <c r="F4" s="744"/>
      <c r="G4" s="744"/>
      <c r="H4" s="744"/>
      <c r="I4" s="745"/>
    </row>
    <row r="5" spans="2:9">
      <c r="B5" s="280" t="s">
        <v>37</v>
      </c>
      <c r="C5" s="746"/>
      <c r="D5" s="744"/>
      <c r="E5" s="744"/>
      <c r="F5" s="744"/>
      <c r="G5" s="744"/>
      <c r="H5" s="744"/>
      <c r="I5" s="745"/>
    </row>
    <row r="6" spans="2:9" ht="15" customHeight="1">
      <c r="B6" s="747" t="s">
        <v>51</v>
      </c>
      <c r="C6" s="748"/>
      <c r="D6" s="279"/>
      <c r="E6" s="749" t="s">
        <v>30</v>
      </c>
      <c r="F6" s="749"/>
      <c r="G6" s="750"/>
      <c r="H6" s="749" t="s">
        <v>52</v>
      </c>
      <c r="I6" s="751"/>
    </row>
    <row r="7" spans="2:9" ht="12.75" customHeight="1">
      <c r="B7" s="752" t="s">
        <v>572</v>
      </c>
      <c r="C7" s="753"/>
      <c r="D7" s="268"/>
      <c r="E7" s="268"/>
      <c r="F7" s="268"/>
      <c r="G7" s="268"/>
      <c r="H7" s="368"/>
      <c r="I7" s="269"/>
    </row>
    <row r="8" spans="2:9">
      <c r="B8" s="270" t="s">
        <v>254</v>
      </c>
      <c r="C8" s="75" t="s">
        <v>568</v>
      </c>
      <c r="D8" s="368" t="s">
        <v>46</v>
      </c>
      <c r="E8" s="368" t="s">
        <v>57</v>
      </c>
      <c r="F8" s="368" t="s">
        <v>61</v>
      </c>
      <c r="G8" s="368" t="s">
        <v>49</v>
      </c>
      <c r="H8" s="368" t="s">
        <v>54</v>
      </c>
      <c r="I8" s="269" t="s">
        <v>14</v>
      </c>
    </row>
    <row r="9" spans="2:9">
      <c r="B9" s="373" t="s">
        <v>231</v>
      </c>
      <c r="C9" s="276" t="str">
        <f>DADOS_CONSULT!A27</f>
        <v>P8044</v>
      </c>
      <c r="D9" s="277" t="s">
        <v>252</v>
      </c>
      <c r="E9" s="276">
        <v>1</v>
      </c>
      <c r="F9" s="276">
        <v>1</v>
      </c>
      <c r="G9" s="276">
        <f>F9*E9</f>
        <v>1</v>
      </c>
      <c r="H9" s="275">
        <f>DADOS_CONSULT!D27</f>
        <v>15919.16</v>
      </c>
      <c r="I9" s="274">
        <f>H9*G9</f>
        <v>15919.16</v>
      </c>
    </row>
    <row r="10" spans="2:9">
      <c r="B10" s="373" t="s">
        <v>272</v>
      </c>
      <c r="C10" s="276" t="str">
        <f>DADOS_CONSULT!$A$22</f>
        <v>P8034</v>
      </c>
      <c r="D10" s="277" t="s">
        <v>252</v>
      </c>
      <c r="E10" s="276">
        <v>1</v>
      </c>
      <c r="F10" s="276">
        <v>1</v>
      </c>
      <c r="G10" s="276">
        <f t="shared" ref="G10:G12" si="0">F10*E10</f>
        <v>1</v>
      </c>
      <c r="H10" s="275">
        <f>DADOS_CONSULT!$D$22</f>
        <v>6057.5</v>
      </c>
      <c r="I10" s="274">
        <f t="shared" ref="I10:I17" si="1">H10*G10</f>
        <v>6057.5</v>
      </c>
    </row>
    <row r="11" spans="2:9">
      <c r="B11" s="373" t="s">
        <v>273</v>
      </c>
      <c r="C11" s="276" t="str">
        <f>DADOS_CONSULT!A50</f>
        <v>P8070</v>
      </c>
      <c r="D11" s="277" t="s">
        <v>252</v>
      </c>
      <c r="E11" s="276">
        <v>1</v>
      </c>
      <c r="F11" s="276">
        <v>1</v>
      </c>
      <c r="G11" s="276">
        <f t="shared" si="0"/>
        <v>1</v>
      </c>
      <c r="H11" s="275">
        <f>DADOS_CONSULT!D50</f>
        <v>15784.7</v>
      </c>
      <c r="I11" s="274">
        <f t="shared" si="1"/>
        <v>15784.7</v>
      </c>
    </row>
    <row r="12" spans="2:9">
      <c r="B12" s="373" t="s">
        <v>274</v>
      </c>
      <c r="C12" s="276" t="str">
        <f>DADOS_CONSULT!A72</f>
        <v>P8125</v>
      </c>
      <c r="D12" s="277" t="s">
        <v>252</v>
      </c>
      <c r="E12" s="276">
        <v>1</v>
      </c>
      <c r="F12" s="276">
        <v>1</v>
      </c>
      <c r="G12" s="276">
        <f t="shared" si="0"/>
        <v>1</v>
      </c>
      <c r="H12" s="275">
        <f>DADOS_CONSULT!D72</f>
        <v>6355.79</v>
      </c>
      <c r="I12" s="274">
        <f t="shared" si="1"/>
        <v>6355.79</v>
      </c>
    </row>
    <row r="13" spans="2:9">
      <c r="B13" s="373" t="s">
        <v>275</v>
      </c>
      <c r="C13" s="276" t="str">
        <f>DADOS_CONSULT!A53</f>
        <v>P8082</v>
      </c>
      <c r="D13" s="277" t="s">
        <v>252</v>
      </c>
      <c r="E13" s="276">
        <v>1</v>
      </c>
      <c r="F13" s="276">
        <v>1</v>
      </c>
      <c r="G13" s="276">
        <f t="shared" ref="G13:G17" si="2">F13*E13</f>
        <v>1</v>
      </c>
      <c r="H13" s="275">
        <f>DADOS_CONSULT!D53</f>
        <v>13842.26</v>
      </c>
      <c r="I13" s="274">
        <f t="shared" si="1"/>
        <v>13842.26</v>
      </c>
    </row>
    <row r="14" spans="2:9">
      <c r="B14" s="373" t="s">
        <v>318</v>
      </c>
      <c r="C14" s="271" t="str">
        <f>DADOS_CONSULT!A31</f>
        <v>P8051</v>
      </c>
      <c r="D14" s="277" t="s">
        <v>252</v>
      </c>
      <c r="E14" s="271">
        <v>1</v>
      </c>
      <c r="F14" s="276">
        <v>1</v>
      </c>
      <c r="G14" s="276">
        <f t="shared" si="2"/>
        <v>1</v>
      </c>
      <c r="H14" s="384">
        <f>DADOS_CONSULT!D31</f>
        <v>8882.5</v>
      </c>
      <c r="I14" s="274">
        <f t="shared" si="1"/>
        <v>8882.5</v>
      </c>
    </row>
    <row r="15" spans="2:9">
      <c r="B15" s="373" t="s">
        <v>238</v>
      </c>
      <c r="C15" s="271" t="str">
        <f>DADOS_CONSULT!A17</f>
        <v>P8026</v>
      </c>
      <c r="D15" s="277" t="s">
        <v>252</v>
      </c>
      <c r="E15" s="271">
        <v>1</v>
      </c>
      <c r="F15" s="276">
        <v>1</v>
      </c>
      <c r="G15" s="276">
        <f t="shared" si="2"/>
        <v>1</v>
      </c>
      <c r="H15" s="384">
        <f>DADOS_CONSULT!D17</f>
        <v>1501.2</v>
      </c>
      <c r="I15" s="274">
        <f t="shared" si="1"/>
        <v>1501.2</v>
      </c>
    </row>
    <row r="16" spans="2:9">
      <c r="B16" s="385" t="s">
        <v>236</v>
      </c>
      <c r="C16" s="271"/>
      <c r="D16" s="277"/>
      <c r="E16" s="271"/>
      <c r="F16" s="276"/>
      <c r="G16" s="276"/>
      <c r="H16" s="384"/>
      <c r="I16" s="274">
        <f t="shared" si="1"/>
        <v>0</v>
      </c>
    </row>
    <row r="17" spans="2:10">
      <c r="B17" s="373" t="s">
        <v>276</v>
      </c>
      <c r="C17" s="271" t="str">
        <f>DADOS_CONSULT!A38</f>
        <v>P8058</v>
      </c>
      <c r="D17" s="277" t="s">
        <v>252</v>
      </c>
      <c r="E17" s="271">
        <v>1</v>
      </c>
      <c r="F17" s="276">
        <v>1</v>
      </c>
      <c r="G17" s="276">
        <f t="shared" si="2"/>
        <v>1</v>
      </c>
      <c r="H17" s="454">
        <f>DADOS_CONSULT!D38</f>
        <v>9593.39</v>
      </c>
      <c r="I17" s="274">
        <f t="shared" si="1"/>
        <v>9593.39</v>
      </c>
    </row>
    <row r="18" spans="2:10" ht="14.25" customHeight="1" thickBot="1">
      <c r="B18" s="373" t="s">
        <v>238</v>
      </c>
      <c r="C18" s="271" t="str">
        <f>DADOS_CONSULT!A16</f>
        <v>P8025</v>
      </c>
      <c r="D18" s="277" t="s">
        <v>252</v>
      </c>
      <c r="E18" s="271">
        <v>1</v>
      </c>
      <c r="F18" s="276">
        <v>1</v>
      </c>
      <c r="G18" s="276">
        <f t="shared" ref="G18" si="3">F18*E18</f>
        <v>1</v>
      </c>
      <c r="H18" s="454">
        <f>DADOS_CONSULT!D16</f>
        <v>1198.99</v>
      </c>
      <c r="I18" s="274">
        <f t="shared" ref="I18" si="4">H18*G18</f>
        <v>1198.99</v>
      </c>
    </row>
    <row r="19" spans="2:10" ht="14.25" customHeight="1" thickBot="1">
      <c r="B19" s="476" t="s">
        <v>557</v>
      </c>
      <c r="C19" s="377"/>
      <c r="D19" s="377"/>
      <c r="E19" s="377"/>
      <c r="F19" s="377"/>
      <c r="G19" s="377"/>
      <c r="H19" s="381"/>
      <c r="I19" s="481">
        <f>SUM(I9:I18)</f>
        <v>79135.490000000005</v>
      </c>
      <c r="J19" s="264">
        <v>19</v>
      </c>
    </row>
    <row r="20" spans="2:10" ht="14.25" customHeight="1">
      <c r="B20" s="707"/>
      <c r="C20" s="708"/>
      <c r="D20" s="708"/>
      <c r="E20" s="708"/>
      <c r="F20" s="708"/>
      <c r="G20" s="708"/>
      <c r="H20" s="708"/>
      <c r="I20" s="709"/>
    </row>
    <row r="21" spans="2:10">
      <c r="B21" s="74" t="s">
        <v>562</v>
      </c>
      <c r="C21" s="441"/>
      <c r="D21" s="442"/>
      <c r="E21" s="442"/>
      <c r="F21" s="442"/>
      <c r="H21" s="483"/>
      <c r="I21" s="274"/>
    </row>
    <row r="22" spans="2:10">
      <c r="B22" s="373" t="s">
        <v>231</v>
      </c>
      <c r="C22" s="441"/>
      <c r="D22" s="442"/>
      <c r="E22" s="442"/>
      <c r="F22" s="442"/>
      <c r="G22" s="484">
        <f>DADOS_CONSULT!W27/100</f>
        <v>0.84819999999999995</v>
      </c>
      <c r="H22" s="483"/>
      <c r="I22" s="274">
        <f>G22*I9</f>
        <v>13502.631512</v>
      </c>
    </row>
    <row r="23" spans="2:10">
      <c r="B23" s="373" t="s">
        <v>272</v>
      </c>
      <c r="C23" s="441"/>
      <c r="D23" s="442"/>
      <c r="E23" s="442"/>
      <c r="F23" s="442"/>
      <c r="G23" s="484">
        <f>DADOS_CONSULT!$W$22/100</f>
        <v>0.93090000000000006</v>
      </c>
      <c r="H23" s="483"/>
      <c r="I23" s="274">
        <f t="shared" ref="I23:I28" si="5">G23*I10</f>
        <v>5638.9267500000005</v>
      </c>
    </row>
    <row r="24" spans="2:10">
      <c r="B24" s="373" t="s">
        <v>273</v>
      </c>
      <c r="C24" s="441"/>
      <c r="D24" s="442"/>
      <c r="E24" s="442"/>
      <c r="F24" s="442"/>
      <c r="G24" s="484">
        <f>DADOS_CONSULT!W50/100</f>
        <v>0.85159999999999991</v>
      </c>
      <c r="H24" s="483"/>
      <c r="I24" s="274">
        <f t="shared" si="5"/>
        <v>13442.25052</v>
      </c>
    </row>
    <row r="25" spans="2:10">
      <c r="B25" s="373" t="s">
        <v>274</v>
      </c>
      <c r="C25" s="441"/>
      <c r="D25" s="442"/>
      <c r="E25" s="442"/>
      <c r="F25" s="442"/>
      <c r="G25" s="484">
        <f>DADOS_CONSULT!W72/100</f>
        <v>0.93269999999999997</v>
      </c>
      <c r="H25" s="483"/>
      <c r="I25" s="274">
        <f t="shared" si="5"/>
        <v>5928.045333</v>
      </c>
    </row>
    <row r="26" spans="2:10">
      <c r="B26" s="373" t="s">
        <v>275</v>
      </c>
      <c r="C26" s="441"/>
      <c r="D26" s="442"/>
      <c r="E26" s="442"/>
      <c r="F26" s="442"/>
      <c r="G26" s="484">
        <f>DADOS_CONSULT!W53/100</f>
        <v>0.85040000000000004</v>
      </c>
      <c r="H26" s="483"/>
      <c r="I26" s="274">
        <f t="shared" si="5"/>
        <v>11771.457904000001</v>
      </c>
    </row>
    <row r="27" spans="2:10">
      <c r="B27" s="373" t="s">
        <v>318</v>
      </c>
      <c r="C27" s="441"/>
      <c r="D27" s="442"/>
      <c r="E27" s="442"/>
      <c r="F27" s="442"/>
      <c r="G27" s="484">
        <f>DADOS_CONSULT!W31/100</f>
        <v>0.88480000000000003</v>
      </c>
      <c r="H27" s="483"/>
      <c r="I27" s="274">
        <f t="shared" si="5"/>
        <v>7859.2359999999999</v>
      </c>
    </row>
    <row r="28" spans="2:10">
      <c r="B28" s="373" t="s">
        <v>238</v>
      </c>
      <c r="C28" s="441"/>
      <c r="D28" s="442"/>
      <c r="E28" s="442"/>
      <c r="F28" s="442"/>
      <c r="G28" s="484">
        <f>DADOS_CONSULT!W17/100</f>
        <v>1.3532</v>
      </c>
      <c r="H28" s="483"/>
      <c r="I28" s="274">
        <f t="shared" si="5"/>
        <v>2031.4238399999999</v>
      </c>
    </row>
    <row r="29" spans="2:10">
      <c r="B29" s="373" t="s">
        <v>276</v>
      </c>
      <c r="C29" s="441"/>
      <c r="D29" s="442"/>
      <c r="E29" s="442"/>
      <c r="F29" s="442"/>
      <c r="G29" s="484">
        <f>DADOS_CONSULT!W38/100</f>
        <v>0.88090000000000002</v>
      </c>
      <c r="H29" s="483"/>
      <c r="I29" s="274">
        <f>G29*I17</f>
        <v>8450.8172510000004</v>
      </c>
    </row>
    <row r="30" spans="2:10" ht="13.5" thickBot="1">
      <c r="B30" s="373" t="s">
        <v>238</v>
      </c>
      <c r="C30" s="441"/>
      <c r="D30" s="442"/>
      <c r="E30" s="442"/>
      <c r="F30" s="442"/>
      <c r="G30" s="484">
        <f>DADOS_CONSULT!W16/100</f>
        <v>1.5485</v>
      </c>
      <c r="H30" s="483"/>
      <c r="I30" s="274">
        <f>G30*I18</f>
        <v>1856.636015</v>
      </c>
    </row>
    <row r="31" spans="2:10" ht="13.5" thickBot="1">
      <c r="B31" s="476" t="s">
        <v>558</v>
      </c>
      <c r="C31" s="443"/>
      <c r="D31" s="444"/>
      <c r="E31" s="444"/>
      <c r="F31" s="444"/>
      <c r="G31" s="484"/>
      <c r="H31" s="485"/>
      <c r="I31" s="482">
        <f>SUM(I21:I30)</f>
        <v>70481.425125000009</v>
      </c>
      <c r="J31" s="264">
        <v>31</v>
      </c>
    </row>
    <row r="32" spans="2:10">
      <c r="B32" s="754"/>
      <c r="C32" s="755"/>
      <c r="D32" s="755"/>
      <c r="E32" s="755"/>
      <c r="F32" s="755"/>
      <c r="G32" s="755"/>
      <c r="H32" s="755"/>
      <c r="I32" s="756"/>
    </row>
    <row r="33" spans="2:10">
      <c r="B33" s="74" t="s">
        <v>573</v>
      </c>
      <c r="C33" s="268"/>
      <c r="D33" s="452" t="s">
        <v>56</v>
      </c>
      <c r="E33" s="452" t="s">
        <v>57</v>
      </c>
      <c r="F33" s="452" t="s">
        <v>60</v>
      </c>
      <c r="G33" s="452" t="s">
        <v>46</v>
      </c>
      <c r="H33" s="452" t="s">
        <v>54</v>
      </c>
      <c r="I33" s="382" t="s">
        <v>14</v>
      </c>
    </row>
    <row r="34" spans="2:10">
      <c r="B34" s="486" t="s">
        <v>241</v>
      </c>
      <c r="C34" s="268"/>
      <c r="D34" s="452"/>
      <c r="E34" s="487">
        <v>10</v>
      </c>
      <c r="F34" s="462">
        <v>1</v>
      </c>
      <c r="G34" s="462" t="s">
        <v>242</v>
      </c>
      <c r="H34" s="488">
        <f>DADOS!C51</f>
        <v>250</v>
      </c>
      <c r="I34" s="489">
        <f>E34*F34*H34</f>
        <v>2500</v>
      </c>
    </row>
    <row r="35" spans="2:10" ht="13.5" thickBot="1">
      <c r="B35" s="486" t="s">
        <v>277</v>
      </c>
      <c r="C35" s="268"/>
      <c r="D35" s="376"/>
      <c r="E35" s="487">
        <v>2</v>
      </c>
      <c r="F35" s="462">
        <v>30</v>
      </c>
      <c r="G35" s="462" t="s">
        <v>244</v>
      </c>
      <c r="H35" s="488">
        <f>DADOS_CONSULT!AG36</f>
        <v>177</v>
      </c>
      <c r="I35" s="489">
        <f>E35*F35*H35</f>
        <v>10620</v>
      </c>
    </row>
    <row r="36" spans="2:10" ht="13.5" thickBot="1">
      <c r="B36" s="486"/>
      <c r="C36" s="268"/>
      <c r="D36" s="452"/>
      <c r="E36" s="487"/>
      <c r="F36" s="462"/>
      <c r="G36" s="462"/>
      <c r="H36" s="490"/>
      <c r="I36" s="482">
        <f>SUM(I34:I35)</f>
        <v>13120</v>
      </c>
      <c r="J36" s="264">
        <v>36</v>
      </c>
    </row>
    <row r="37" spans="2:10">
      <c r="B37" s="270" t="s">
        <v>150</v>
      </c>
      <c r="C37" s="268"/>
      <c r="D37" s="452"/>
      <c r="E37" s="452" t="s">
        <v>48</v>
      </c>
      <c r="F37" s="452" t="s">
        <v>60</v>
      </c>
      <c r="G37" s="452" t="s">
        <v>552</v>
      </c>
      <c r="H37" s="452" t="s">
        <v>54</v>
      </c>
      <c r="I37" s="382" t="s">
        <v>14</v>
      </c>
    </row>
    <row r="38" spans="2:10" ht="13.5" thickBot="1">
      <c r="B38" s="491" t="s">
        <v>278</v>
      </c>
      <c r="C38" s="268"/>
      <c r="D38" s="452"/>
      <c r="E38" s="453">
        <v>1</v>
      </c>
      <c r="F38" s="453">
        <v>30</v>
      </c>
      <c r="G38" s="492">
        <f>F38*8</f>
        <v>240</v>
      </c>
      <c r="H38" s="166">
        <f>DADOS_CONSULT!AF13</f>
        <v>46.14</v>
      </c>
      <c r="I38" s="460">
        <f>H38*G38</f>
        <v>11073.6</v>
      </c>
      <c r="J38" s="264">
        <v>38</v>
      </c>
    </row>
    <row r="39" spans="2:10" ht="13.5" thickBot="1">
      <c r="B39" s="476" t="s">
        <v>559</v>
      </c>
      <c r="C39" s="268"/>
      <c r="D39" s="453"/>
      <c r="E39" s="453"/>
      <c r="F39" s="453"/>
      <c r="G39" s="492"/>
      <c r="H39" s="485"/>
      <c r="I39" s="482">
        <f>I36+I38</f>
        <v>24193.599999999999</v>
      </c>
      <c r="J39" s="264">
        <v>39</v>
      </c>
    </row>
    <row r="40" spans="2:10" ht="12" customHeight="1">
      <c r="B40" s="732"/>
      <c r="C40" s="733"/>
      <c r="D40" s="733"/>
      <c r="E40" s="733"/>
      <c r="F40" s="733"/>
      <c r="G40" s="733"/>
      <c r="H40" s="733"/>
      <c r="I40" s="734"/>
    </row>
    <row r="41" spans="2:10" ht="13.5" customHeight="1">
      <c r="B41" s="725" t="s">
        <v>76</v>
      </c>
      <c r="C41" s="735"/>
      <c r="D41" s="735"/>
      <c r="E41" s="735"/>
      <c r="F41" s="735"/>
      <c r="G41" s="735"/>
      <c r="H41" s="735"/>
      <c r="I41" s="493">
        <f>SUM(I19+I31++I39)</f>
        <v>173810.51512500001</v>
      </c>
      <c r="J41" s="264">
        <v>41</v>
      </c>
    </row>
    <row r="42" spans="2:10">
      <c r="B42" s="716"/>
      <c r="C42" s="717"/>
      <c r="D42" s="717"/>
      <c r="E42" s="717"/>
      <c r="F42" s="717"/>
      <c r="G42" s="717"/>
      <c r="H42" s="717"/>
      <c r="I42" s="718"/>
    </row>
    <row r="43" spans="2:10">
      <c r="B43" s="719" t="s">
        <v>38</v>
      </c>
      <c r="C43" s="720"/>
      <c r="D43" s="721"/>
      <c r="E43" s="432"/>
      <c r="F43" s="432"/>
      <c r="G43" s="433"/>
      <c r="H43" s="434"/>
      <c r="I43" s="435"/>
    </row>
    <row r="44" spans="2:10">
      <c r="B44" s="469" t="s">
        <v>561</v>
      </c>
      <c r="C44" s="472"/>
      <c r="D44" s="474"/>
      <c r="E44" s="472"/>
      <c r="F44" s="472"/>
      <c r="G44" s="470"/>
      <c r="H44" s="472"/>
      <c r="I44" s="435"/>
    </row>
    <row r="45" spans="2:10">
      <c r="B45" s="473" t="s">
        <v>553</v>
      </c>
      <c r="C45" s="472"/>
      <c r="D45" s="474"/>
      <c r="E45" s="472"/>
      <c r="F45" s="472"/>
      <c r="G45" s="471">
        <v>0.1</v>
      </c>
      <c r="H45" s="472"/>
      <c r="I45" s="460">
        <f>G45*$I$41</f>
        <v>17381.051512500002</v>
      </c>
    </row>
    <row r="46" spans="2:10">
      <c r="B46" s="473" t="s">
        <v>554</v>
      </c>
      <c r="C46" s="472"/>
      <c r="D46" s="474"/>
      <c r="E46" s="472"/>
      <c r="F46" s="472"/>
      <c r="G46" s="471">
        <v>2.5000000000000001E-3</v>
      </c>
      <c r="H46" s="472"/>
      <c r="I46" s="460">
        <f t="shared" ref="I46:I48" si="6">G46*$I$41</f>
        <v>434.52628781250002</v>
      </c>
    </row>
    <row r="47" spans="2:10">
      <c r="B47" s="473" t="s">
        <v>555</v>
      </c>
      <c r="C47" s="472"/>
      <c r="D47" s="474"/>
      <c r="E47" s="472"/>
      <c r="F47" s="472"/>
      <c r="G47" s="471">
        <v>7.1999999999999998E-3</v>
      </c>
      <c r="H47" s="472"/>
      <c r="I47" s="460">
        <f t="shared" si="6"/>
        <v>1251.4357089</v>
      </c>
    </row>
    <row r="48" spans="2:10">
      <c r="B48" s="473" t="s">
        <v>556</v>
      </c>
      <c r="C48" s="472"/>
      <c r="D48" s="474"/>
      <c r="E48" s="472"/>
      <c r="F48" s="472"/>
      <c r="G48" s="471">
        <v>1.4E-3</v>
      </c>
      <c r="H48" s="472"/>
      <c r="I48" s="460">
        <f t="shared" si="6"/>
        <v>243.334721175</v>
      </c>
    </row>
    <row r="49" spans="2:13">
      <c r="B49" s="458" t="s">
        <v>560</v>
      </c>
      <c r="C49" s="472"/>
      <c r="D49" s="474"/>
      <c r="E49" s="472"/>
      <c r="F49" s="472"/>
      <c r="G49" s="471">
        <v>0.1111</v>
      </c>
      <c r="H49" s="472"/>
      <c r="I49" s="122">
        <f>SUM(I45:I48)</f>
        <v>19310.348230387503</v>
      </c>
      <c r="J49" s="264">
        <v>49</v>
      </c>
    </row>
    <row r="50" spans="2:13">
      <c r="B50" s="469"/>
      <c r="C50" s="472"/>
      <c r="D50" s="474"/>
      <c r="E50" s="472"/>
      <c r="F50" s="472"/>
      <c r="G50" s="472"/>
      <c r="H50" s="472"/>
      <c r="I50" s="435"/>
    </row>
    <row r="51" spans="2:13">
      <c r="B51" s="469" t="s">
        <v>563</v>
      </c>
      <c r="C51" s="472"/>
      <c r="D51" s="474"/>
      <c r="E51" s="472"/>
      <c r="F51" s="472"/>
      <c r="G51" s="472"/>
      <c r="H51" s="472"/>
      <c r="I51" s="435"/>
    </row>
    <row r="52" spans="2:13">
      <c r="B52" s="469" t="s">
        <v>574</v>
      </c>
      <c r="C52" s="472"/>
      <c r="D52" s="474"/>
      <c r="E52" s="472"/>
      <c r="F52" s="472"/>
      <c r="G52" s="471">
        <v>0.12</v>
      </c>
      <c r="H52" s="472"/>
      <c r="I52" s="459">
        <f>G52*I41</f>
        <v>20857.261815000002</v>
      </c>
      <c r="J52" s="264">
        <v>52</v>
      </c>
    </row>
    <row r="53" spans="2:13">
      <c r="B53" s="469"/>
      <c r="C53" s="472"/>
      <c r="D53" s="474"/>
      <c r="E53" s="472"/>
      <c r="F53" s="472"/>
      <c r="G53" s="472"/>
      <c r="H53" s="472"/>
      <c r="I53" s="435"/>
    </row>
    <row r="54" spans="2:13">
      <c r="B54" s="469" t="s">
        <v>564</v>
      </c>
      <c r="C54" s="472"/>
      <c r="D54" s="474"/>
      <c r="E54" s="472"/>
      <c r="F54" s="472"/>
      <c r="G54" s="471"/>
      <c r="H54" s="472"/>
      <c r="I54" s="435"/>
    </row>
    <row r="55" spans="2:13">
      <c r="B55" s="473" t="s">
        <v>565</v>
      </c>
      <c r="C55" s="472"/>
      <c r="D55" s="474"/>
      <c r="E55" s="472"/>
      <c r="F55" s="472"/>
      <c r="G55" s="471">
        <v>2.3699999999999999E-2</v>
      </c>
      <c r="H55" s="472"/>
      <c r="I55" s="460">
        <f>G55*$I$41</f>
        <v>4119.3092084624996</v>
      </c>
    </row>
    <row r="56" spans="2:13">
      <c r="B56" s="473" t="s">
        <v>566</v>
      </c>
      <c r="C56" s="472"/>
      <c r="D56" s="474"/>
      <c r="E56" s="472"/>
      <c r="F56" s="472"/>
      <c r="G56" s="471">
        <v>0.1091</v>
      </c>
      <c r="H56" s="472"/>
      <c r="I56" s="460">
        <f t="shared" ref="I56:I57" si="7">G56*$I$41</f>
        <v>18962.727200137502</v>
      </c>
    </row>
    <row r="57" spans="2:13">
      <c r="B57" s="473" t="s">
        <v>567</v>
      </c>
      <c r="C57" s="472"/>
      <c r="D57" s="474"/>
      <c r="E57" s="472"/>
      <c r="F57" s="472"/>
      <c r="G57" s="471">
        <v>7.1800000000000003E-2</v>
      </c>
      <c r="H57" s="472"/>
      <c r="I57" s="460">
        <f t="shared" si="7"/>
        <v>12479.594985975002</v>
      </c>
    </row>
    <row r="58" spans="2:13">
      <c r="B58" s="469"/>
      <c r="C58" s="472"/>
      <c r="D58" s="474"/>
      <c r="E58" s="472"/>
      <c r="F58" s="472"/>
      <c r="G58" s="470"/>
      <c r="H58" s="472"/>
      <c r="I58" s="122">
        <f>SUM(I55:I57)</f>
        <v>35561.631394575001</v>
      </c>
      <c r="J58" s="264">
        <v>58</v>
      </c>
    </row>
    <row r="59" spans="2:13">
      <c r="B59" s="722"/>
      <c r="C59" s="723"/>
      <c r="D59" s="723"/>
      <c r="E59" s="723"/>
      <c r="F59" s="723"/>
      <c r="G59" s="723"/>
      <c r="H59" s="723"/>
      <c r="I59" s="724"/>
    </row>
    <row r="60" spans="2:13">
      <c r="B60" s="725" t="s">
        <v>166</v>
      </c>
      <c r="C60" s="726"/>
      <c r="D60" s="726"/>
      <c r="E60" s="726"/>
      <c r="F60" s="726"/>
      <c r="G60" s="726"/>
      <c r="H60" s="726"/>
      <c r="I60" s="192">
        <f>I49+I52+I58</f>
        <v>75729.241439962498</v>
      </c>
      <c r="J60" s="264">
        <v>60</v>
      </c>
    </row>
    <row r="61" spans="2:13">
      <c r="B61" s="727"/>
      <c r="C61" s="728"/>
      <c r="D61" s="728"/>
      <c r="E61" s="728"/>
      <c r="F61" s="728"/>
      <c r="G61" s="728"/>
      <c r="H61" s="728"/>
      <c r="I61" s="729"/>
    </row>
    <row r="62" spans="2:13" ht="13.5" thickBot="1">
      <c r="B62" s="730" t="s">
        <v>167</v>
      </c>
      <c r="C62" s="731"/>
      <c r="D62" s="731"/>
      <c r="E62" s="731"/>
      <c r="F62" s="731"/>
      <c r="G62" s="731"/>
      <c r="H62" s="731"/>
      <c r="I62" s="81">
        <f>SUM(I41+I60)</f>
        <v>249539.7565649625</v>
      </c>
      <c r="M62" s="267"/>
    </row>
    <row r="63" spans="2:13" ht="13.5" thickBot="1"/>
    <row r="64" spans="2:13">
      <c r="B64" s="710" t="s">
        <v>140</v>
      </c>
      <c r="C64" s="711"/>
      <c r="D64" s="711"/>
      <c r="E64" s="711"/>
      <c r="F64" s="711"/>
      <c r="G64" s="711"/>
      <c r="H64" s="711"/>
      <c r="I64" s="712"/>
    </row>
    <row r="65" spans="2:9" ht="13.5" customHeight="1">
      <c r="B65" s="713"/>
      <c r="C65" s="714"/>
      <c r="D65" s="714"/>
      <c r="E65" s="714"/>
      <c r="F65" s="714"/>
      <c r="G65" s="714"/>
      <c r="H65" s="714"/>
      <c r="I65" s="715"/>
    </row>
    <row r="66" spans="2:9" ht="16.5" customHeight="1">
      <c r="B66" s="701"/>
      <c r="C66" s="702"/>
      <c r="D66" s="702"/>
      <c r="E66" s="702"/>
      <c r="F66" s="702"/>
      <c r="G66" s="702"/>
      <c r="H66" s="702"/>
      <c r="I66" s="703"/>
    </row>
    <row r="67" spans="2:9" ht="7.5" customHeight="1" thickBot="1">
      <c r="B67" s="704"/>
      <c r="C67" s="705"/>
      <c r="D67" s="705"/>
      <c r="E67" s="705"/>
      <c r="F67" s="705"/>
      <c r="G67" s="705"/>
      <c r="H67" s="705"/>
      <c r="I67" s="706"/>
    </row>
  </sheetData>
  <mergeCells count="23">
    <mergeCell ref="B6:C6"/>
    <mergeCell ref="E6:G6"/>
    <mergeCell ref="H6:I6"/>
    <mergeCell ref="B7:C7"/>
    <mergeCell ref="B32:I32"/>
    <mergeCell ref="B1:I1"/>
    <mergeCell ref="B2:I2"/>
    <mergeCell ref="B3:I3"/>
    <mergeCell ref="C4:I4"/>
    <mergeCell ref="C5:I5"/>
    <mergeCell ref="B66:I66"/>
    <mergeCell ref="B67:I67"/>
    <mergeCell ref="B20:I20"/>
    <mergeCell ref="B64:I64"/>
    <mergeCell ref="B65:I65"/>
    <mergeCell ref="B42:I42"/>
    <mergeCell ref="B43:D43"/>
    <mergeCell ref="B59:I59"/>
    <mergeCell ref="B60:H60"/>
    <mergeCell ref="B61:I61"/>
    <mergeCell ref="B62:H62"/>
    <mergeCell ref="B40:I40"/>
    <mergeCell ref="B41:H41"/>
  </mergeCells>
  <pageMargins left="0.511811024" right="0.511811024" top="0.78740157499999996" bottom="0.78740157499999996" header="0.31496062000000002" footer="0.31496062000000002"/>
  <pageSetup paperSize="9" scale="82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6"/>
  <sheetViews>
    <sheetView topLeftCell="A58" zoomScaleNormal="100" workbookViewId="0">
      <selection activeCell="E61" sqref="E61"/>
    </sheetView>
  </sheetViews>
  <sheetFormatPr defaultRowHeight="12.75"/>
  <cols>
    <col min="1" max="1" width="4.85546875" style="264" customWidth="1"/>
    <col min="2" max="2" width="60" style="264" customWidth="1"/>
    <col min="3" max="3" width="6.5703125" style="264" customWidth="1"/>
    <col min="4" max="4" width="10" style="264" customWidth="1"/>
    <col min="5" max="6" width="9.140625" style="264"/>
    <col min="7" max="7" width="10.85546875" style="264" customWidth="1"/>
    <col min="8" max="8" width="13.5703125" style="264" customWidth="1"/>
    <col min="9" max="9" width="16.5703125" style="264" customWidth="1"/>
    <col min="10" max="16384" width="9.140625" style="264"/>
  </cols>
  <sheetData>
    <row r="1" spans="2:9" ht="13.5" thickBot="1">
      <c r="B1" s="736"/>
      <c r="C1" s="736"/>
      <c r="D1" s="736"/>
      <c r="E1" s="736"/>
      <c r="F1" s="736"/>
      <c r="G1" s="736"/>
      <c r="H1" s="736"/>
      <c r="I1" s="736"/>
    </row>
    <row r="2" spans="2:9" ht="20.25" customHeight="1">
      <c r="B2" s="737" t="str">
        <f>DADOS!D28</f>
        <v>TRECHO CONTORNO LESTE DA BR-158/MT - REQUERIMENTO DE LI</v>
      </c>
      <c r="C2" s="738"/>
      <c r="D2" s="738"/>
      <c r="E2" s="738"/>
      <c r="F2" s="738"/>
      <c r="G2" s="738"/>
      <c r="H2" s="738"/>
      <c r="I2" s="739"/>
    </row>
    <row r="3" spans="2:9" ht="16.5" customHeight="1">
      <c r="B3" s="740" t="s">
        <v>257</v>
      </c>
      <c r="C3" s="741"/>
      <c r="D3" s="741"/>
      <c r="E3" s="741"/>
      <c r="F3" s="741"/>
      <c r="G3" s="741"/>
      <c r="H3" s="741"/>
      <c r="I3" s="742"/>
    </row>
    <row r="4" spans="2:9">
      <c r="B4" s="281">
        <f>DADOS!E30</f>
        <v>43831</v>
      </c>
      <c r="C4" s="743"/>
      <c r="D4" s="744"/>
      <c r="E4" s="744"/>
      <c r="F4" s="744"/>
      <c r="G4" s="744"/>
      <c r="H4" s="744"/>
      <c r="I4" s="745"/>
    </row>
    <row r="5" spans="2:9">
      <c r="B5" s="280" t="s">
        <v>37</v>
      </c>
      <c r="C5" s="746"/>
      <c r="D5" s="744"/>
      <c r="E5" s="744"/>
      <c r="F5" s="744"/>
      <c r="G5" s="744"/>
      <c r="H5" s="744"/>
      <c r="I5" s="745"/>
    </row>
    <row r="6" spans="2:9" ht="15" customHeight="1">
      <c r="B6" s="747" t="s">
        <v>51</v>
      </c>
      <c r="C6" s="748"/>
      <c r="D6" s="279"/>
      <c r="E6" s="749" t="s">
        <v>30</v>
      </c>
      <c r="F6" s="749"/>
      <c r="G6" s="750"/>
      <c r="H6" s="749" t="s">
        <v>52</v>
      </c>
      <c r="I6" s="751"/>
    </row>
    <row r="7" spans="2:9" ht="12.75" customHeight="1">
      <c r="B7" s="752" t="s">
        <v>572</v>
      </c>
      <c r="C7" s="753"/>
      <c r="D7" s="268"/>
      <c r="E7" s="268"/>
      <c r="F7" s="268"/>
      <c r="G7" s="268"/>
      <c r="H7" s="368"/>
      <c r="I7" s="269"/>
    </row>
    <row r="8" spans="2:9">
      <c r="B8" s="270" t="s">
        <v>316</v>
      </c>
      <c r="C8" s="75" t="s">
        <v>568</v>
      </c>
      <c r="D8" s="368" t="s">
        <v>46</v>
      </c>
      <c r="E8" s="368" t="s">
        <v>57</v>
      </c>
      <c r="F8" s="368" t="s">
        <v>61</v>
      </c>
      <c r="G8" s="368" t="s">
        <v>49</v>
      </c>
      <c r="H8" s="368" t="s">
        <v>54</v>
      </c>
      <c r="I8" s="269" t="s">
        <v>14</v>
      </c>
    </row>
    <row r="9" spans="2:9">
      <c r="B9" s="373" t="s">
        <v>233</v>
      </c>
      <c r="C9" s="276" t="str">
        <f>DADOS_CONSULT!A22</f>
        <v>P8034</v>
      </c>
      <c r="D9" s="277" t="s">
        <v>252</v>
      </c>
      <c r="E9" s="276">
        <v>1</v>
      </c>
      <c r="F9" s="276">
        <v>2</v>
      </c>
      <c r="G9" s="276">
        <f>F9*E9</f>
        <v>2</v>
      </c>
      <c r="H9" s="275">
        <f>DADOS_CONSULT!$D$22</f>
        <v>6057.5</v>
      </c>
      <c r="I9" s="274">
        <f>H9*G9</f>
        <v>12115</v>
      </c>
    </row>
    <row r="10" spans="2:9">
      <c r="B10" s="373" t="s">
        <v>234</v>
      </c>
      <c r="C10" s="276" t="str">
        <f>DADOS_CONSULT!A22</f>
        <v>P8034</v>
      </c>
      <c r="D10" s="277" t="s">
        <v>252</v>
      </c>
      <c r="E10" s="276">
        <v>1</v>
      </c>
      <c r="F10" s="276">
        <v>2</v>
      </c>
      <c r="G10" s="276">
        <f t="shared" ref="G10:G11" si="0">F10*E10</f>
        <v>2</v>
      </c>
      <c r="H10" s="275">
        <f>DADOS_CONSULT!$D$22</f>
        <v>6057.5</v>
      </c>
      <c r="I10" s="274">
        <f t="shared" ref="I10:I11" si="1">H10*G10</f>
        <v>12115</v>
      </c>
    </row>
    <row r="11" spans="2:9">
      <c r="B11" s="373" t="s">
        <v>235</v>
      </c>
      <c r="C11" s="276" t="str">
        <f>DADOS_CONSULT!A32</f>
        <v>P8052</v>
      </c>
      <c r="D11" s="277" t="s">
        <v>252</v>
      </c>
      <c r="E11" s="276">
        <v>1</v>
      </c>
      <c r="F11" s="276">
        <v>1</v>
      </c>
      <c r="G11" s="276">
        <f t="shared" si="0"/>
        <v>1</v>
      </c>
      <c r="H11" s="275">
        <f>DADOS_CONSULT!D32</f>
        <v>9288.81</v>
      </c>
      <c r="I11" s="274">
        <f t="shared" si="1"/>
        <v>9288.81</v>
      </c>
    </row>
    <row r="12" spans="2:9">
      <c r="B12" s="372" t="s">
        <v>255</v>
      </c>
      <c r="C12" s="276"/>
      <c r="D12" s="277"/>
      <c r="E12" s="276"/>
      <c r="F12" s="276"/>
      <c r="G12" s="276"/>
      <c r="H12" s="275"/>
      <c r="I12" s="274"/>
    </row>
    <row r="13" spans="2:9">
      <c r="B13" s="373" t="s">
        <v>237</v>
      </c>
      <c r="C13" s="276" t="str">
        <f>DADOS_CONSULT!$A$21</f>
        <v>P8033</v>
      </c>
      <c r="D13" s="277" t="s">
        <v>252</v>
      </c>
      <c r="E13" s="276">
        <v>3</v>
      </c>
      <c r="F13" s="276">
        <v>2</v>
      </c>
      <c r="G13" s="276">
        <f t="shared" ref="G13:G18" si="2">F13*E13</f>
        <v>6</v>
      </c>
      <c r="H13" s="275">
        <f>DADOS_CONSULT!$D$21</f>
        <v>3781.9</v>
      </c>
      <c r="I13" s="274">
        <f t="shared" ref="I13:I18" si="3">H13*G13</f>
        <v>22691.4</v>
      </c>
    </row>
    <row r="14" spans="2:9">
      <c r="B14" s="373" t="s">
        <v>238</v>
      </c>
      <c r="C14" s="276" t="str">
        <f>DADOS_CONSULT!$A$66</f>
        <v>P8113</v>
      </c>
      <c r="D14" s="277" t="s">
        <v>252</v>
      </c>
      <c r="E14" s="276">
        <v>1</v>
      </c>
      <c r="F14" s="276">
        <v>2</v>
      </c>
      <c r="G14" s="276">
        <f t="shared" si="2"/>
        <v>2</v>
      </c>
      <c r="H14" s="275">
        <f>DADOS_CONSULT!$D$66</f>
        <v>1676.06</v>
      </c>
      <c r="I14" s="274">
        <f t="shared" si="3"/>
        <v>3352.12</v>
      </c>
    </row>
    <row r="15" spans="2:9">
      <c r="B15" s="373" t="s">
        <v>239</v>
      </c>
      <c r="C15" s="276" t="str">
        <f>DADOS_CONSULT!$A$21</f>
        <v>P8033</v>
      </c>
      <c r="D15" s="277" t="s">
        <v>252</v>
      </c>
      <c r="E15" s="276">
        <v>2</v>
      </c>
      <c r="F15" s="276">
        <v>2</v>
      </c>
      <c r="G15" s="276">
        <f t="shared" si="2"/>
        <v>4</v>
      </c>
      <c r="H15" s="275">
        <f>DADOS_CONSULT!$D$21</f>
        <v>3781.9</v>
      </c>
      <c r="I15" s="274">
        <f t="shared" si="3"/>
        <v>15127.6</v>
      </c>
    </row>
    <row r="16" spans="2:9">
      <c r="B16" s="373" t="s">
        <v>238</v>
      </c>
      <c r="C16" s="276" t="str">
        <f>DADOS_CONSULT!$A$66</f>
        <v>P8113</v>
      </c>
      <c r="D16" s="277" t="s">
        <v>252</v>
      </c>
      <c r="E16" s="276">
        <v>1</v>
      </c>
      <c r="F16" s="276">
        <v>2</v>
      </c>
      <c r="G16" s="276">
        <f t="shared" si="2"/>
        <v>2</v>
      </c>
      <c r="H16" s="275">
        <f>DADOS_CONSULT!$D$66</f>
        <v>1676.06</v>
      </c>
      <c r="I16" s="274">
        <f t="shared" si="3"/>
        <v>3352.12</v>
      </c>
    </row>
    <row r="17" spans="2:10">
      <c r="B17" s="373" t="s">
        <v>240</v>
      </c>
      <c r="C17" s="276" t="str">
        <f>DADOS_CONSULT!$A$21</f>
        <v>P8033</v>
      </c>
      <c r="D17" s="277" t="s">
        <v>252</v>
      </c>
      <c r="E17" s="276">
        <v>1</v>
      </c>
      <c r="F17" s="276">
        <v>2</v>
      </c>
      <c r="G17" s="276">
        <f t="shared" si="2"/>
        <v>2</v>
      </c>
      <c r="H17" s="275">
        <f>DADOS_CONSULT!$D$21</f>
        <v>3781.9</v>
      </c>
      <c r="I17" s="274">
        <f t="shared" si="3"/>
        <v>7563.8</v>
      </c>
    </row>
    <row r="18" spans="2:10" ht="13.5" thickBot="1">
      <c r="B18" s="373" t="s">
        <v>238</v>
      </c>
      <c r="C18" s="276" t="str">
        <f>DADOS_CONSULT!$A$66</f>
        <v>P8113</v>
      </c>
      <c r="D18" s="277" t="s">
        <v>252</v>
      </c>
      <c r="E18" s="271">
        <v>1</v>
      </c>
      <c r="F18" s="276">
        <v>2</v>
      </c>
      <c r="G18" s="276">
        <f t="shared" si="2"/>
        <v>2</v>
      </c>
      <c r="H18" s="275">
        <f>DADOS_CONSULT!$D$66</f>
        <v>1676.06</v>
      </c>
      <c r="I18" s="379">
        <f t="shared" si="3"/>
        <v>3352.12</v>
      </c>
    </row>
    <row r="19" spans="2:10" ht="14.25" customHeight="1" thickBot="1">
      <c r="B19" s="476" t="s">
        <v>557</v>
      </c>
      <c r="C19" s="271"/>
      <c r="D19" s="272"/>
      <c r="E19" s="271"/>
      <c r="F19" s="271"/>
      <c r="G19" s="271"/>
      <c r="H19" s="378"/>
      <c r="I19" s="380">
        <f>SUM(I9:I18)</f>
        <v>88957.97</v>
      </c>
      <c r="J19" s="264">
        <v>19</v>
      </c>
    </row>
    <row r="20" spans="2:10" ht="14.25" customHeight="1">
      <c r="B20" s="757"/>
      <c r="C20" s="758"/>
      <c r="D20" s="758"/>
      <c r="E20" s="758"/>
      <c r="F20" s="758"/>
      <c r="G20" s="758"/>
      <c r="H20" s="758"/>
      <c r="I20" s="759"/>
    </row>
    <row r="21" spans="2:10">
      <c r="B21" s="74" t="s">
        <v>562</v>
      </c>
      <c r="C21" s="268"/>
      <c r="D21" s="453"/>
      <c r="E21" s="453"/>
      <c r="F21" s="453"/>
      <c r="G21" s="453"/>
      <c r="H21" s="166"/>
      <c r="I21" s="274"/>
    </row>
    <row r="22" spans="2:10">
      <c r="B22" s="486" t="s">
        <v>233</v>
      </c>
      <c r="C22" s="268"/>
      <c r="D22" s="453"/>
      <c r="E22" s="453"/>
      <c r="F22" s="453"/>
      <c r="G22" s="484">
        <f>DADOS_CONSULT!W22/100</f>
        <v>0.93090000000000006</v>
      </c>
      <c r="H22" s="485"/>
      <c r="I22" s="274">
        <f>G22*I9</f>
        <v>11277.853500000001</v>
      </c>
    </row>
    <row r="23" spans="2:10">
      <c r="B23" s="486" t="s">
        <v>234</v>
      </c>
      <c r="C23" s="268"/>
      <c r="D23" s="453"/>
      <c r="E23" s="453"/>
      <c r="F23" s="453"/>
      <c r="G23" s="484">
        <f>DADOS_CONSULT!W22/100</f>
        <v>0.93090000000000006</v>
      </c>
      <c r="H23" s="485"/>
      <c r="I23" s="274">
        <f t="shared" ref="I23:I24" si="4">G23*I10</f>
        <v>11277.853500000001</v>
      </c>
    </row>
    <row r="24" spans="2:10">
      <c r="B24" s="486" t="s">
        <v>235</v>
      </c>
      <c r="C24" s="268"/>
      <c r="D24" s="453"/>
      <c r="E24" s="453"/>
      <c r="F24" s="453"/>
      <c r="G24" s="484">
        <f>DADOS_CONSULT!W32/100</f>
        <v>0.88109999999999999</v>
      </c>
      <c r="H24" s="485"/>
      <c r="I24" s="274">
        <f t="shared" si="4"/>
        <v>8184.3704909999997</v>
      </c>
    </row>
    <row r="25" spans="2:10">
      <c r="B25" s="486" t="s">
        <v>237</v>
      </c>
      <c r="C25" s="268"/>
      <c r="D25" s="453"/>
      <c r="E25" s="453"/>
      <c r="F25" s="453"/>
      <c r="G25" s="484">
        <f>DADOS_CONSULT!$W$21/100</f>
        <v>1.0064</v>
      </c>
      <c r="H25" s="485"/>
      <c r="I25" s="274">
        <f>G25*I13</f>
        <v>22836.624960000001</v>
      </c>
    </row>
    <row r="26" spans="2:10">
      <c r="B26" s="486" t="s">
        <v>238</v>
      </c>
      <c r="C26" s="268"/>
      <c r="D26" s="453"/>
      <c r="E26" s="453"/>
      <c r="F26" s="453"/>
      <c r="G26" s="484">
        <f>DADOS_CONSULT!$W$66/100</f>
        <v>1.298</v>
      </c>
      <c r="H26" s="485"/>
      <c r="I26" s="274">
        <f t="shared" ref="I26:I30" si="5">G26*I14</f>
        <v>4351.0517600000003</v>
      </c>
    </row>
    <row r="27" spans="2:10">
      <c r="B27" s="486" t="s">
        <v>239</v>
      </c>
      <c r="C27" s="268"/>
      <c r="D27" s="453"/>
      <c r="E27" s="453"/>
      <c r="F27" s="453"/>
      <c r="G27" s="484">
        <f>DADOS_CONSULT!$W$21/100</f>
        <v>1.0064</v>
      </c>
      <c r="H27" s="485"/>
      <c r="I27" s="274">
        <f t="shared" si="5"/>
        <v>15224.416639999999</v>
      </c>
    </row>
    <row r="28" spans="2:10">
      <c r="B28" s="486" t="s">
        <v>238</v>
      </c>
      <c r="C28" s="268"/>
      <c r="D28" s="453"/>
      <c r="E28" s="453"/>
      <c r="F28" s="453"/>
      <c r="G28" s="484">
        <f>DADOS_CONSULT!$W$66/100</f>
        <v>1.298</v>
      </c>
      <c r="H28" s="485"/>
      <c r="I28" s="274">
        <f t="shared" si="5"/>
        <v>4351.0517600000003</v>
      </c>
    </row>
    <row r="29" spans="2:10">
      <c r="B29" s="486" t="s">
        <v>240</v>
      </c>
      <c r="C29" s="268"/>
      <c r="D29" s="453"/>
      <c r="E29" s="453"/>
      <c r="F29" s="453"/>
      <c r="G29" s="484">
        <f>DADOS_CONSULT!$W$21/100</f>
        <v>1.0064</v>
      </c>
      <c r="H29" s="485"/>
      <c r="I29" s="274">
        <f t="shared" si="5"/>
        <v>7612.2083199999997</v>
      </c>
    </row>
    <row r="30" spans="2:10" ht="13.5" thickBot="1">
      <c r="B30" s="486" t="s">
        <v>238</v>
      </c>
      <c r="C30" s="268"/>
      <c r="D30" s="453"/>
      <c r="E30" s="453"/>
      <c r="F30" s="453"/>
      <c r="G30" s="484">
        <f>DADOS_CONSULT!$W$66/100</f>
        <v>1.298</v>
      </c>
      <c r="H30" s="485"/>
      <c r="I30" s="274">
        <f t="shared" si="5"/>
        <v>4351.0517600000003</v>
      </c>
    </row>
    <row r="31" spans="2:10" ht="13.5" thickBot="1">
      <c r="B31" s="476" t="s">
        <v>558</v>
      </c>
      <c r="C31" s="268"/>
      <c r="D31" s="453"/>
      <c r="E31" s="453"/>
      <c r="F31" s="453"/>
      <c r="G31" s="484"/>
      <c r="H31" s="485"/>
      <c r="I31" s="482">
        <f>SUM(I22:I30)</f>
        <v>89466.482691000012</v>
      </c>
      <c r="J31" s="264">
        <v>31</v>
      </c>
    </row>
    <row r="32" spans="2:10">
      <c r="B32" s="757"/>
      <c r="C32" s="760"/>
      <c r="D32" s="760"/>
      <c r="E32" s="760"/>
      <c r="F32" s="760"/>
      <c r="G32" s="760"/>
      <c r="H32" s="760"/>
      <c r="I32" s="761"/>
    </row>
    <row r="33" spans="2:10">
      <c r="B33" s="74" t="s">
        <v>573</v>
      </c>
      <c r="C33" s="268"/>
      <c r="D33" s="452" t="s">
        <v>56</v>
      </c>
      <c r="E33" s="452" t="s">
        <v>57</v>
      </c>
      <c r="F33" s="452" t="s">
        <v>60</v>
      </c>
      <c r="G33" s="452" t="s">
        <v>46</v>
      </c>
      <c r="H33" s="452" t="s">
        <v>54</v>
      </c>
      <c r="I33" s="382" t="s">
        <v>14</v>
      </c>
    </row>
    <row r="34" spans="2:10">
      <c r="B34" s="486" t="s">
        <v>241</v>
      </c>
      <c r="C34" s="268"/>
      <c r="D34" s="452"/>
      <c r="E34" s="487">
        <v>10</v>
      </c>
      <c r="F34" s="462">
        <v>1</v>
      </c>
      <c r="G34" s="462" t="s">
        <v>242</v>
      </c>
      <c r="H34" s="488">
        <f>DADOS!C51</f>
        <v>250</v>
      </c>
      <c r="I34" s="489">
        <f>E34*F34*H34</f>
        <v>2500</v>
      </c>
    </row>
    <row r="35" spans="2:10">
      <c r="B35" s="486" t="s">
        <v>243</v>
      </c>
      <c r="C35" s="268"/>
      <c r="D35" s="376"/>
      <c r="E35" s="487">
        <v>3</v>
      </c>
      <c r="F35" s="462">
        <f>60</f>
        <v>60</v>
      </c>
      <c r="G35" s="462" t="s">
        <v>244</v>
      </c>
      <c r="H35" s="488">
        <f>DADOS_CONSULT!$AG$36</f>
        <v>177</v>
      </c>
      <c r="I35" s="489">
        <f>E35*F35*H35</f>
        <v>31860</v>
      </c>
    </row>
    <row r="36" spans="2:10">
      <c r="B36" s="486" t="s">
        <v>245</v>
      </c>
      <c r="C36" s="268"/>
      <c r="D36" s="376"/>
      <c r="E36" s="487">
        <v>2</v>
      </c>
      <c r="F36" s="462">
        <v>60</v>
      </c>
      <c r="G36" s="462" t="s">
        <v>244</v>
      </c>
      <c r="H36" s="488">
        <f>DADOS_CONSULT!$AG$36</f>
        <v>177</v>
      </c>
      <c r="I36" s="489">
        <f>E36*F36*H36</f>
        <v>21240</v>
      </c>
    </row>
    <row r="37" spans="2:10">
      <c r="B37" s="486" t="s">
        <v>246</v>
      </c>
      <c r="C37" s="268"/>
      <c r="D37" s="376"/>
      <c r="E37" s="487">
        <v>1</v>
      </c>
      <c r="F37" s="462">
        <v>60</v>
      </c>
      <c r="G37" s="462" t="s">
        <v>244</v>
      </c>
      <c r="H37" s="488">
        <f>DADOS_CONSULT!$AG$36</f>
        <v>177</v>
      </c>
      <c r="I37" s="489">
        <f>E37*F37*H37</f>
        <v>10620</v>
      </c>
    </row>
    <row r="38" spans="2:10">
      <c r="B38" s="486" t="s">
        <v>247</v>
      </c>
      <c r="C38" s="268"/>
      <c r="D38" s="376"/>
      <c r="E38" s="487">
        <v>3</v>
      </c>
      <c r="F38" s="494">
        <v>60</v>
      </c>
      <c r="G38" s="462" t="s">
        <v>244</v>
      </c>
      <c r="H38" s="488">
        <f>DADOS_CONSULT!$AG$36</f>
        <v>177</v>
      </c>
      <c r="I38" s="489">
        <f t="shared" ref="I38" si="6">E38*F38*H38</f>
        <v>31860</v>
      </c>
    </row>
    <row r="39" spans="2:10">
      <c r="B39" s="486" t="s">
        <v>248</v>
      </c>
      <c r="C39" s="268"/>
      <c r="D39" s="452"/>
      <c r="E39" s="487">
        <v>1</v>
      </c>
      <c r="F39" s="462">
        <v>1</v>
      </c>
      <c r="G39" s="462" t="s">
        <v>242</v>
      </c>
      <c r="H39" s="488">
        <f>10000+5000+2000</f>
        <v>17000</v>
      </c>
      <c r="I39" s="489">
        <f>E39*F39*H39</f>
        <v>17000</v>
      </c>
    </row>
    <row r="40" spans="2:10" ht="13.5" thickBot="1">
      <c r="B40" s="486" t="s">
        <v>249</v>
      </c>
      <c r="C40" s="268"/>
      <c r="D40" s="452"/>
      <c r="E40" s="487">
        <v>1</v>
      </c>
      <c r="F40" s="462">
        <v>1</v>
      </c>
      <c r="G40" s="462" t="s">
        <v>242</v>
      </c>
      <c r="H40" s="488">
        <f>500*4</f>
        <v>2000</v>
      </c>
      <c r="I40" s="489">
        <f>E40*F40*H40</f>
        <v>2000</v>
      </c>
    </row>
    <row r="41" spans="2:10" ht="13.5" thickBot="1">
      <c r="B41" s="486"/>
      <c r="C41" s="268"/>
      <c r="D41" s="452"/>
      <c r="E41" s="487"/>
      <c r="F41" s="462"/>
      <c r="G41" s="462"/>
      <c r="H41" s="490"/>
      <c r="I41" s="482">
        <f>SUM(I34:I40)</f>
        <v>117080</v>
      </c>
      <c r="J41" s="264">
        <v>41</v>
      </c>
    </row>
    <row r="42" spans="2:10">
      <c r="B42" s="270" t="s">
        <v>150</v>
      </c>
      <c r="C42" s="268"/>
      <c r="D42" s="452"/>
      <c r="E42" s="452" t="s">
        <v>48</v>
      </c>
      <c r="F42" s="452" t="s">
        <v>60</v>
      </c>
      <c r="G42" s="452" t="s">
        <v>552</v>
      </c>
      <c r="H42" s="452" t="s">
        <v>54</v>
      </c>
      <c r="I42" s="382" t="s">
        <v>14</v>
      </c>
    </row>
    <row r="43" spans="2:10">
      <c r="B43" s="491" t="s">
        <v>256</v>
      </c>
      <c r="C43" s="268"/>
      <c r="D43" s="452"/>
      <c r="E43" s="453">
        <v>1</v>
      </c>
      <c r="F43" s="453">
        <v>60</v>
      </c>
      <c r="G43" s="492">
        <f>F43*8</f>
        <v>480</v>
      </c>
      <c r="H43" s="166">
        <f>DADOS_CONSULT!$AF$13</f>
        <v>46.14</v>
      </c>
      <c r="I43" s="460">
        <f>H43*G43</f>
        <v>22147.200000000001</v>
      </c>
    </row>
    <row r="44" spans="2:10">
      <c r="B44" s="491" t="s">
        <v>250</v>
      </c>
      <c r="C44" s="268"/>
      <c r="D44" s="452"/>
      <c r="E44" s="376">
        <v>1</v>
      </c>
      <c r="F44" s="453">
        <v>60</v>
      </c>
      <c r="G44" s="492">
        <f t="shared" ref="G44:G45" si="7">F44*8</f>
        <v>480</v>
      </c>
      <c r="H44" s="166">
        <f>DADOS_CONSULT!$AF$13</f>
        <v>46.14</v>
      </c>
      <c r="I44" s="460">
        <f t="shared" ref="I44:I45" si="8">H44*G44</f>
        <v>22147.200000000001</v>
      </c>
    </row>
    <row r="45" spans="2:10" ht="13.5" thickBot="1">
      <c r="B45" s="491" t="s">
        <v>251</v>
      </c>
      <c r="C45" s="268"/>
      <c r="D45" s="452"/>
      <c r="E45" s="376">
        <v>1</v>
      </c>
      <c r="F45" s="453">
        <v>60</v>
      </c>
      <c r="G45" s="492">
        <f t="shared" si="7"/>
        <v>480</v>
      </c>
      <c r="H45" s="166">
        <f>DADOS_CONSULT!$AF$13</f>
        <v>46.14</v>
      </c>
      <c r="I45" s="495">
        <f t="shared" si="8"/>
        <v>22147.200000000001</v>
      </c>
    </row>
    <row r="46" spans="2:10" ht="13.5" thickBot="1">
      <c r="B46" s="496"/>
      <c r="C46" s="268"/>
      <c r="D46" s="453"/>
      <c r="E46" s="453"/>
      <c r="F46" s="453"/>
      <c r="G46" s="492"/>
      <c r="H46" s="485"/>
      <c r="I46" s="482">
        <f>SUM(I43:I45)</f>
        <v>66441.600000000006</v>
      </c>
      <c r="J46" s="264">
        <v>46</v>
      </c>
    </row>
    <row r="47" spans="2:10" ht="13.5" thickBot="1">
      <c r="B47" s="476" t="s">
        <v>559</v>
      </c>
      <c r="C47" s="268"/>
      <c r="D47" s="453"/>
      <c r="E47" s="453"/>
      <c r="F47" s="453"/>
      <c r="G47" s="492"/>
      <c r="H47" s="485"/>
      <c r="I47" s="501">
        <f>I41+I46</f>
        <v>183521.6</v>
      </c>
      <c r="J47" s="264">
        <v>47</v>
      </c>
    </row>
    <row r="48" spans="2:10" ht="12" customHeight="1">
      <c r="B48" s="762"/>
      <c r="C48" s="717"/>
      <c r="D48" s="717"/>
      <c r="E48" s="717"/>
      <c r="F48" s="717"/>
      <c r="G48" s="717"/>
      <c r="H48" s="717"/>
      <c r="I48" s="763"/>
    </row>
    <row r="49" spans="2:10" ht="13.5" customHeight="1">
      <c r="B49" s="725" t="s">
        <v>76</v>
      </c>
      <c r="C49" s="735"/>
      <c r="D49" s="735"/>
      <c r="E49" s="735"/>
      <c r="F49" s="735"/>
      <c r="G49" s="735"/>
      <c r="H49" s="735"/>
      <c r="I49" s="493">
        <f>SUM(I19+I31+I47)</f>
        <v>361946.05269100005</v>
      </c>
      <c r="J49" s="264">
        <v>49</v>
      </c>
    </row>
    <row r="50" spans="2:10">
      <c r="B50" s="716"/>
      <c r="C50" s="717"/>
      <c r="D50" s="717"/>
      <c r="E50" s="717"/>
      <c r="F50" s="717"/>
      <c r="G50" s="717"/>
      <c r="H50" s="717"/>
      <c r="I50" s="718"/>
    </row>
    <row r="51" spans="2:10">
      <c r="B51" s="719" t="s">
        <v>38</v>
      </c>
      <c r="C51" s="720"/>
      <c r="D51" s="721"/>
      <c r="E51" s="432"/>
      <c r="F51" s="432"/>
      <c r="G51" s="433"/>
      <c r="H51" s="434"/>
      <c r="I51" s="435"/>
    </row>
    <row r="52" spans="2:10">
      <c r="B52" s="469" t="s">
        <v>561</v>
      </c>
      <c r="C52" s="472"/>
      <c r="D52" s="474"/>
      <c r="E52" s="472"/>
      <c r="F52" s="472"/>
      <c r="G52" s="470"/>
      <c r="H52" s="472"/>
      <c r="I52" s="435"/>
    </row>
    <row r="53" spans="2:10">
      <c r="B53" s="473" t="s">
        <v>553</v>
      </c>
      <c r="C53" s="472"/>
      <c r="D53" s="474"/>
      <c r="E53" s="472"/>
      <c r="F53" s="472"/>
      <c r="G53" s="471">
        <v>0.1</v>
      </c>
      <c r="H53" s="472"/>
      <c r="I53" s="460">
        <f>G53*$I$49</f>
        <v>36194.605269100008</v>
      </c>
    </row>
    <row r="54" spans="2:10">
      <c r="B54" s="473" t="s">
        <v>554</v>
      </c>
      <c r="C54" s="472"/>
      <c r="D54" s="474"/>
      <c r="E54" s="472"/>
      <c r="F54" s="472"/>
      <c r="G54" s="471">
        <v>2.5000000000000001E-3</v>
      </c>
      <c r="H54" s="472"/>
      <c r="I54" s="460">
        <f t="shared" ref="I54:I56" si="9">G54*$I$49</f>
        <v>904.86513172750017</v>
      </c>
    </row>
    <row r="55" spans="2:10">
      <c r="B55" s="473" t="s">
        <v>555</v>
      </c>
      <c r="C55" s="472"/>
      <c r="D55" s="474"/>
      <c r="E55" s="472"/>
      <c r="F55" s="472"/>
      <c r="G55" s="471">
        <v>7.1999999999999998E-3</v>
      </c>
      <c r="H55" s="472"/>
      <c r="I55" s="460">
        <f t="shared" si="9"/>
        <v>2606.0115793752002</v>
      </c>
    </row>
    <row r="56" spans="2:10">
      <c r="B56" s="473" t="s">
        <v>556</v>
      </c>
      <c r="C56" s="472"/>
      <c r="D56" s="474"/>
      <c r="E56" s="472"/>
      <c r="F56" s="472"/>
      <c r="G56" s="471">
        <v>1.4E-3</v>
      </c>
      <c r="H56" s="472"/>
      <c r="I56" s="460">
        <f t="shared" si="9"/>
        <v>506.72447376740007</v>
      </c>
    </row>
    <row r="57" spans="2:10">
      <c r="B57" s="458" t="s">
        <v>560</v>
      </c>
      <c r="C57" s="472"/>
      <c r="D57" s="474"/>
      <c r="E57" s="472"/>
      <c r="F57" s="472"/>
      <c r="G57" s="471">
        <v>0.1111</v>
      </c>
      <c r="H57" s="472"/>
      <c r="I57" s="122">
        <f>SUM(I53:I56)</f>
        <v>40212.206453970102</v>
      </c>
      <c r="J57" s="264">
        <v>57</v>
      </c>
    </row>
    <row r="58" spans="2:10">
      <c r="B58" s="469"/>
      <c r="C58" s="472"/>
      <c r="D58" s="474"/>
      <c r="E58" s="472"/>
      <c r="F58" s="472"/>
      <c r="G58" s="472"/>
      <c r="H58" s="472"/>
      <c r="I58" s="435"/>
    </row>
    <row r="59" spans="2:10">
      <c r="B59" s="469" t="s">
        <v>563</v>
      </c>
      <c r="C59" s="472"/>
      <c r="D59" s="474"/>
      <c r="E59" s="472"/>
      <c r="F59" s="472"/>
      <c r="G59" s="472"/>
      <c r="H59" s="472"/>
      <c r="I59" s="435"/>
    </row>
    <row r="60" spans="2:10">
      <c r="B60" s="469" t="s">
        <v>574</v>
      </c>
      <c r="C60" s="472"/>
      <c r="D60" s="474"/>
      <c r="E60" s="472"/>
      <c r="F60" s="472"/>
      <c r="G60" s="471">
        <v>0.12</v>
      </c>
      <c r="H60" s="472"/>
      <c r="I60" s="459">
        <f>G60*I49</f>
        <v>43433.526322920006</v>
      </c>
      <c r="J60" s="264">
        <v>60</v>
      </c>
    </row>
    <row r="61" spans="2:10">
      <c r="B61" s="469"/>
      <c r="C61" s="472"/>
      <c r="D61" s="474"/>
      <c r="E61" s="472"/>
      <c r="F61" s="472"/>
      <c r="G61" s="472"/>
      <c r="H61" s="472"/>
      <c r="I61" s="435"/>
    </row>
    <row r="62" spans="2:10">
      <c r="B62" s="469" t="s">
        <v>564</v>
      </c>
      <c r="C62" s="472"/>
      <c r="D62" s="474"/>
      <c r="E62" s="472"/>
      <c r="F62" s="472"/>
      <c r="G62" s="471"/>
      <c r="H62" s="472"/>
      <c r="I62" s="435"/>
    </row>
    <row r="63" spans="2:10">
      <c r="B63" s="473" t="s">
        <v>565</v>
      </c>
      <c r="C63" s="472"/>
      <c r="D63" s="474"/>
      <c r="E63" s="472"/>
      <c r="F63" s="472"/>
      <c r="G63" s="471">
        <v>2.3699999999999999E-2</v>
      </c>
      <c r="H63" s="472"/>
      <c r="I63" s="460">
        <f>G63*$I$49</f>
        <v>8578.1214487767011</v>
      </c>
    </row>
    <row r="64" spans="2:10">
      <c r="B64" s="473" t="s">
        <v>566</v>
      </c>
      <c r="C64" s="472"/>
      <c r="D64" s="474"/>
      <c r="E64" s="472"/>
      <c r="F64" s="472"/>
      <c r="G64" s="471">
        <v>0.1091</v>
      </c>
      <c r="H64" s="472"/>
      <c r="I64" s="460">
        <f>G64*$I$49</f>
        <v>39488.314348588108</v>
      </c>
    </row>
    <row r="65" spans="1:13">
      <c r="B65" s="473" t="s">
        <v>567</v>
      </c>
      <c r="C65" s="472"/>
      <c r="D65" s="474"/>
      <c r="E65" s="472"/>
      <c r="F65" s="472"/>
      <c r="G65" s="471">
        <v>7.1800000000000003E-2</v>
      </c>
      <c r="H65" s="472"/>
      <c r="I65" s="460">
        <f>G65*$I$49</f>
        <v>25987.726583213804</v>
      </c>
    </row>
    <row r="66" spans="1:13">
      <c r="B66" s="469"/>
      <c r="C66" s="472"/>
      <c r="D66" s="474"/>
      <c r="E66" s="472"/>
      <c r="F66" s="472"/>
      <c r="G66" s="470"/>
      <c r="H66" s="472"/>
      <c r="I66" s="122">
        <f>SUM(I63:I65)</f>
        <v>74054.162380578608</v>
      </c>
      <c r="J66" s="264">
        <v>66</v>
      </c>
    </row>
    <row r="67" spans="1:13">
      <c r="B67" s="722"/>
      <c r="C67" s="723"/>
      <c r="D67" s="723"/>
      <c r="E67" s="723"/>
      <c r="F67" s="723"/>
      <c r="G67" s="723"/>
      <c r="H67" s="723"/>
      <c r="I67" s="724"/>
    </row>
    <row r="68" spans="1:13">
      <c r="B68" s="725" t="s">
        <v>166</v>
      </c>
      <c r="C68" s="726"/>
      <c r="D68" s="726"/>
      <c r="E68" s="726"/>
      <c r="F68" s="726"/>
      <c r="G68" s="726"/>
      <c r="H68" s="726"/>
      <c r="I68" s="192">
        <f>I57+I60+I66</f>
        <v>157699.89515746871</v>
      </c>
      <c r="J68" s="264">
        <v>68</v>
      </c>
    </row>
    <row r="69" spans="1:13">
      <c r="B69" s="727"/>
      <c r="C69" s="728"/>
      <c r="D69" s="728"/>
      <c r="E69" s="728"/>
      <c r="F69" s="728"/>
      <c r="G69" s="728"/>
      <c r="H69" s="728"/>
      <c r="I69" s="729"/>
      <c r="M69" s="267"/>
    </row>
    <row r="70" spans="1:13">
      <c r="B70" s="727"/>
      <c r="C70" s="728"/>
      <c r="D70" s="728"/>
      <c r="E70" s="728"/>
      <c r="F70" s="728"/>
      <c r="G70" s="728"/>
      <c r="H70" s="728"/>
      <c r="I70" s="729"/>
      <c r="M70" s="267"/>
    </row>
    <row r="71" spans="1:13" ht="13.5" thickBot="1">
      <c r="B71" s="730" t="s">
        <v>167</v>
      </c>
      <c r="C71" s="731"/>
      <c r="D71" s="731"/>
      <c r="E71" s="731"/>
      <c r="F71" s="731"/>
      <c r="G71" s="731"/>
      <c r="H71" s="731"/>
      <c r="I71" s="81">
        <f>I49+I68</f>
        <v>519645.94784846879</v>
      </c>
    </row>
    <row r="72" spans="1:13" ht="13.5" thickBot="1">
      <c r="A72" s="502"/>
      <c r="B72" s="226"/>
      <c r="C72" s="463"/>
      <c r="D72" s="463"/>
      <c r="E72" s="463"/>
      <c r="F72" s="463"/>
      <c r="G72" s="463"/>
      <c r="H72" s="463"/>
      <c r="I72" s="308"/>
    </row>
    <row r="73" spans="1:13">
      <c r="B73" s="710" t="s">
        <v>140</v>
      </c>
      <c r="C73" s="711"/>
      <c r="D73" s="711"/>
      <c r="E73" s="711"/>
      <c r="F73" s="711"/>
      <c r="G73" s="711"/>
      <c r="H73" s="711"/>
      <c r="I73" s="712"/>
    </row>
    <row r="74" spans="1:13" ht="13.5" customHeight="1">
      <c r="B74" s="713" t="s">
        <v>264</v>
      </c>
      <c r="C74" s="714"/>
      <c r="D74" s="714"/>
      <c r="E74" s="714"/>
      <c r="F74" s="714"/>
      <c r="G74" s="714"/>
      <c r="H74" s="714"/>
      <c r="I74" s="715"/>
    </row>
    <row r="75" spans="1:13" ht="16.5" customHeight="1">
      <c r="B75" s="701"/>
      <c r="C75" s="702"/>
      <c r="D75" s="702"/>
      <c r="E75" s="702"/>
      <c r="F75" s="702"/>
      <c r="G75" s="702"/>
      <c r="H75" s="702"/>
      <c r="I75" s="703"/>
    </row>
    <row r="76" spans="1:13" ht="7.5" customHeight="1" thickBot="1">
      <c r="B76" s="704"/>
      <c r="C76" s="705"/>
      <c r="D76" s="705"/>
      <c r="E76" s="705"/>
      <c r="F76" s="705"/>
      <c r="G76" s="705"/>
      <c r="H76" s="705"/>
      <c r="I76" s="706"/>
    </row>
  </sheetData>
  <mergeCells count="24">
    <mergeCell ref="B6:C6"/>
    <mergeCell ref="E6:G6"/>
    <mergeCell ref="H6:I6"/>
    <mergeCell ref="B1:I1"/>
    <mergeCell ref="B2:I2"/>
    <mergeCell ref="B3:I3"/>
    <mergeCell ref="C4:I4"/>
    <mergeCell ref="C5:I5"/>
    <mergeCell ref="B7:C7"/>
    <mergeCell ref="B20:I20"/>
    <mergeCell ref="B32:I32"/>
    <mergeCell ref="B48:I48"/>
    <mergeCell ref="B49:H49"/>
    <mergeCell ref="B50:I50"/>
    <mergeCell ref="B51:D51"/>
    <mergeCell ref="B67:I67"/>
    <mergeCell ref="B70:I70"/>
    <mergeCell ref="B71:H71"/>
    <mergeCell ref="B68:H68"/>
    <mergeCell ref="B74:I74"/>
    <mergeCell ref="B75:I75"/>
    <mergeCell ref="B76:I76"/>
    <mergeCell ref="B69:I69"/>
    <mergeCell ref="B73:I73"/>
  </mergeCells>
  <pageMargins left="0.511811024" right="0.511811024" top="0.78740157499999996" bottom="0.78740157499999996" header="0.31496062000000002" footer="0.31496062000000002"/>
  <pageSetup paperSize="9" scale="82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8"/>
  <sheetViews>
    <sheetView topLeftCell="A40" zoomScaleNormal="100" workbookViewId="0">
      <selection activeCell="I53" sqref="I53"/>
    </sheetView>
  </sheetViews>
  <sheetFormatPr defaultRowHeight="12.75"/>
  <cols>
    <col min="1" max="1" width="4.85546875" style="264" customWidth="1"/>
    <col min="2" max="2" width="47" style="264" customWidth="1"/>
    <col min="3" max="3" width="9.140625" style="264"/>
    <col min="4" max="4" width="10" style="264" customWidth="1"/>
    <col min="5" max="7" width="9.140625" style="264"/>
    <col min="8" max="8" width="13.5703125" style="264" customWidth="1"/>
    <col min="9" max="9" width="16.5703125" style="264" customWidth="1"/>
    <col min="10" max="16384" width="9.140625" style="264"/>
  </cols>
  <sheetData>
    <row r="1" spans="2:10" ht="13.5" thickBot="1">
      <c r="B1" s="736"/>
      <c r="C1" s="736"/>
      <c r="D1" s="736"/>
      <c r="E1" s="736"/>
      <c r="F1" s="736"/>
      <c r="G1" s="736"/>
      <c r="H1" s="736"/>
      <c r="I1" s="736"/>
    </row>
    <row r="2" spans="2:10" ht="20.25" customHeight="1">
      <c r="B2" s="737" t="str">
        <f>DADOS!D28</f>
        <v>TRECHO CONTORNO LESTE DA BR-158/MT - REQUERIMENTO DE LI</v>
      </c>
      <c r="C2" s="738"/>
      <c r="D2" s="738"/>
      <c r="E2" s="738"/>
      <c r="F2" s="738"/>
      <c r="G2" s="738"/>
      <c r="H2" s="738"/>
      <c r="I2" s="739"/>
    </row>
    <row r="3" spans="2:10" ht="16.5" customHeight="1">
      <c r="B3" s="740" t="s">
        <v>253</v>
      </c>
      <c r="C3" s="741"/>
      <c r="D3" s="741"/>
      <c r="E3" s="741"/>
      <c r="F3" s="741"/>
      <c r="G3" s="741"/>
      <c r="H3" s="741"/>
      <c r="I3" s="742"/>
    </row>
    <row r="4" spans="2:10">
      <c r="B4" s="281">
        <f>DADOS!E30</f>
        <v>43831</v>
      </c>
      <c r="C4" s="743"/>
      <c r="D4" s="744"/>
      <c r="E4" s="744"/>
      <c r="F4" s="744"/>
      <c r="G4" s="744"/>
      <c r="H4" s="744"/>
      <c r="I4" s="745"/>
    </row>
    <row r="5" spans="2:10">
      <c r="B5" s="280" t="s">
        <v>37</v>
      </c>
      <c r="C5" s="746"/>
      <c r="D5" s="744"/>
      <c r="E5" s="744"/>
      <c r="F5" s="744"/>
      <c r="G5" s="744"/>
      <c r="H5" s="744"/>
      <c r="I5" s="745"/>
    </row>
    <row r="6" spans="2:10" ht="15" customHeight="1">
      <c r="B6" s="747" t="s">
        <v>51</v>
      </c>
      <c r="C6" s="748"/>
      <c r="D6" s="279"/>
      <c r="E6" s="749" t="s">
        <v>30</v>
      </c>
      <c r="F6" s="749"/>
      <c r="G6" s="750"/>
      <c r="H6" s="749" t="s">
        <v>52</v>
      </c>
      <c r="I6" s="751"/>
    </row>
    <row r="7" spans="2:10" ht="12.75" customHeight="1">
      <c r="B7" s="752" t="s">
        <v>572</v>
      </c>
      <c r="C7" s="753"/>
      <c r="D7" s="268"/>
      <c r="E7" s="268"/>
      <c r="F7" s="268"/>
      <c r="G7" s="268"/>
      <c r="H7" s="364"/>
      <c r="I7" s="269"/>
    </row>
    <row r="8" spans="2:10">
      <c r="B8" s="270" t="s">
        <v>316</v>
      </c>
      <c r="C8" s="75" t="s">
        <v>568</v>
      </c>
      <c r="D8" s="364" t="s">
        <v>46</v>
      </c>
      <c r="E8" s="364" t="s">
        <v>57</v>
      </c>
      <c r="F8" s="364" t="s">
        <v>61</v>
      </c>
      <c r="G8" s="364" t="s">
        <v>49</v>
      </c>
      <c r="H8" s="364" t="s">
        <v>54</v>
      </c>
      <c r="I8" s="269" t="s">
        <v>14</v>
      </c>
    </row>
    <row r="9" spans="2:10">
      <c r="B9" s="386" t="s">
        <v>281</v>
      </c>
      <c r="C9" s="383" t="str">
        <f>DADOS_CONSULT!A50</f>
        <v>P8070</v>
      </c>
      <c r="D9" s="277" t="s">
        <v>202</v>
      </c>
      <c r="E9" s="376">
        <v>1</v>
      </c>
      <c r="F9" s="376">
        <v>1</v>
      </c>
      <c r="G9" s="276">
        <f>F9*E9</f>
        <v>1</v>
      </c>
      <c r="H9" s="275">
        <f>DADOS_CONSULT!D50</f>
        <v>15784.7</v>
      </c>
      <c r="I9" s="379">
        <f>H9*G9</f>
        <v>15784.7</v>
      </c>
    </row>
    <row r="10" spans="2:10">
      <c r="B10" s="373" t="s">
        <v>235</v>
      </c>
      <c r="C10" s="383" t="str">
        <f>DADOS_CONSULT!A32</f>
        <v>P8052</v>
      </c>
      <c r="D10" s="277" t="s">
        <v>202</v>
      </c>
      <c r="E10" s="276">
        <v>1</v>
      </c>
      <c r="F10" s="276">
        <v>0.5</v>
      </c>
      <c r="G10" s="276">
        <f>F10*E10</f>
        <v>0.5</v>
      </c>
      <c r="H10" s="275">
        <f>DADOS_CONSULT!$D$32</f>
        <v>9288.81</v>
      </c>
      <c r="I10" s="274">
        <f>H10*G10</f>
        <v>4644.4049999999997</v>
      </c>
    </row>
    <row r="11" spans="2:10">
      <c r="B11" s="387" t="s">
        <v>255</v>
      </c>
      <c r="C11" s="75"/>
      <c r="D11" s="368"/>
      <c r="E11" s="368"/>
      <c r="F11" s="368"/>
      <c r="G11" s="368"/>
      <c r="H11" s="368"/>
      <c r="I11" s="382"/>
    </row>
    <row r="12" spans="2:10">
      <c r="B12" s="278" t="s">
        <v>265</v>
      </c>
      <c r="C12" s="383" t="str">
        <f>DADOS_CONSULT!$A$49</f>
        <v>P8069</v>
      </c>
      <c r="D12" s="277" t="s">
        <v>195</v>
      </c>
      <c r="E12" s="276">
        <v>1</v>
      </c>
      <c r="F12" s="276">
        <v>30</v>
      </c>
      <c r="G12" s="276">
        <f>F12*E12</f>
        <v>30</v>
      </c>
      <c r="H12" s="275">
        <f>DADOS_CONSULT!$D$49/22</f>
        <v>483.35181818181815</v>
      </c>
      <c r="I12" s="274">
        <f>H12*G12</f>
        <v>14500.554545454544</v>
      </c>
    </row>
    <row r="13" spans="2:10" ht="14.25" customHeight="1" thickBot="1">
      <c r="B13" s="273" t="s">
        <v>74</v>
      </c>
      <c r="C13" s="271" t="str">
        <f>DADOS_CONSULT!A16</f>
        <v>P8025</v>
      </c>
      <c r="D13" s="272" t="s">
        <v>195</v>
      </c>
      <c r="E13" s="271">
        <v>1</v>
      </c>
      <c r="F13" s="271">
        <v>30</v>
      </c>
      <c r="G13" s="271">
        <f>F13*E13</f>
        <v>30</v>
      </c>
      <c r="H13" s="231">
        <f>DADOS_CONSULT!$D$16/22</f>
        <v>54.499545454545455</v>
      </c>
      <c r="I13" s="379">
        <f t="shared" ref="I13" si="0">H13*G13</f>
        <v>1634.9863636363636</v>
      </c>
    </row>
    <row r="14" spans="2:10" ht="14.25" customHeight="1" thickBot="1">
      <c r="B14" s="476" t="s">
        <v>557</v>
      </c>
      <c r="C14" s="271"/>
      <c r="D14" s="272"/>
      <c r="E14" s="271"/>
      <c r="F14" s="271"/>
      <c r="G14" s="271"/>
      <c r="H14" s="378"/>
      <c r="I14" s="380">
        <f>SUM(I9:I13)</f>
        <v>36564.645909090912</v>
      </c>
      <c r="J14" s="264">
        <v>14</v>
      </c>
    </row>
    <row r="15" spans="2:10">
      <c r="B15" s="74" t="s">
        <v>562</v>
      </c>
      <c r="C15" s="268"/>
      <c r="D15" s="453"/>
      <c r="E15" s="453"/>
      <c r="F15" s="453"/>
      <c r="G15" s="453"/>
      <c r="H15" s="166"/>
      <c r="I15" s="503"/>
    </row>
    <row r="16" spans="2:10">
      <c r="B16" s="386" t="s">
        <v>281</v>
      </c>
      <c r="C16" s="268"/>
      <c r="D16" s="453"/>
      <c r="E16" s="453"/>
      <c r="F16" s="453"/>
      <c r="G16" s="484">
        <f>DADOS_CONSULT!W50/100</f>
        <v>0.85159999999999991</v>
      </c>
      <c r="H16" s="485"/>
      <c r="I16" s="274">
        <f>G16*I9</f>
        <v>13442.25052</v>
      </c>
    </row>
    <row r="17" spans="2:10">
      <c r="B17" s="486" t="s">
        <v>235</v>
      </c>
      <c r="C17" s="268"/>
      <c r="D17" s="453"/>
      <c r="E17" s="453"/>
      <c r="F17" s="453"/>
      <c r="G17" s="484">
        <f>DADOS_CONSULT!W32/100</f>
        <v>0.88109999999999999</v>
      </c>
      <c r="H17" s="485"/>
      <c r="I17" s="274">
        <f>G17*I10</f>
        <v>4092.1852454999998</v>
      </c>
    </row>
    <row r="18" spans="2:10">
      <c r="B18" s="278" t="s">
        <v>265</v>
      </c>
      <c r="C18" s="268"/>
      <c r="D18" s="453"/>
      <c r="E18" s="453"/>
      <c r="F18" s="453"/>
      <c r="G18" s="484">
        <f>DADOS_CONSULT!$W$49/100</f>
        <v>0.8748999999999999</v>
      </c>
      <c r="H18" s="485"/>
      <c r="I18" s="274">
        <f>I12</f>
        <v>14500.554545454544</v>
      </c>
    </row>
    <row r="19" spans="2:10" ht="13.5" thickBot="1">
      <c r="B19" s="273" t="s">
        <v>74</v>
      </c>
      <c r="C19" s="268"/>
      <c r="D19" s="453"/>
      <c r="E19" s="453"/>
      <c r="F19" s="453"/>
      <c r="G19" s="484">
        <f>DADOS_CONSULT!W16/100</f>
        <v>1.5485</v>
      </c>
      <c r="H19" s="485"/>
      <c r="I19" s="274">
        <f>I13</f>
        <v>1634.9863636363636</v>
      </c>
    </row>
    <row r="20" spans="2:10" ht="13.5" thickBot="1">
      <c r="B20" s="476" t="s">
        <v>558</v>
      </c>
      <c r="C20" s="268"/>
      <c r="D20" s="453"/>
      <c r="E20" s="453"/>
      <c r="F20" s="453"/>
      <c r="G20" s="484"/>
      <c r="H20" s="485"/>
      <c r="I20" s="482">
        <f>SUM(I16:I19)</f>
        <v>33669.976674590907</v>
      </c>
      <c r="J20" s="264">
        <v>20</v>
      </c>
    </row>
    <row r="21" spans="2:10">
      <c r="B21" s="757"/>
      <c r="C21" s="760"/>
      <c r="D21" s="760"/>
      <c r="E21" s="760"/>
      <c r="F21" s="760"/>
      <c r="G21" s="760"/>
      <c r="H21" s="760"/>
      <c r="I21" s="761"/>
    </row>
    <row r="22" spans="2:10">
      <c r="B22" s="270" t="s">
        <v>573</v>
      </c>
      <c r="C22" s="268"/>
      <c r="D22" s="452" t="s">
        <v>56</v>
      </c>
      <c r="E22" s="452" t="s">
        <v>57</v>
      </c>
      <c r="F22" s="452" t="s">
        <v>60</v>
      </c>
      <c r="G22" s="452" t="s">
        <v>46</v>
      </c>
      <c r="H22" s="452" t="s">
        <v>54</v>
      </c>
      <c r="I22" s="382" t="s">
        <v>14</v>
      </c>
    </row>
    <row r="23" spans="2:10">
      <c r="B23" s="486" t="s">
        <v>241</v>
      </c>
      <c r="C23" s="268"/>
      <c r="D23" s="452"/>
      <c r="E23" s="487">
        <v>10</v>
      </c>
      <c r="F23" s="462">
        <v>1</v>
      </c>
      <c r="G23" s="462" t="s">
        <v>242</v>
      </c>
      <c r="H23" s="504">
        <f>DADOS!$C$51</f>
        <v>250</v>
      </c>
      <c r="I23" s="489">
        <f>E23*F23*H23</f>
        <v>2500</v>
      </c>
    </row>
    <row r="24" spans="2:10">
      <c r="B24" s="486" t="s">
        <v>266</v>
      </c>
      <c r="C24" s="268"/>
      <c r="D24" s="376"/>
      <c r="E24" s="383">
        <v>1</v>
      </c>
      <c r="F24" s="276">
        <v>30</v>
      </c>
      <c r="G24" s="276" t="s">
        <v>244</v>
      </c>
      <c r="H24" s="504">
        <f>DADOS_CONSULT!$AG$36</f>
        <v>177</v>
      </c>
      <c r="I24" s="489">
        <f t="shared" ref="I24:I25" si="1">E24*F24*H24</f>
        <v>5310</v>
      </c>
    </row>
    <row r="25" spans="2:10" ht="13.5" thickBot="1">
      <c r="B25" s="273" t="s">
        <v>267</v>
      </c>
      <c r="C25" s="268"/>
      <c r="D25" s="376"/>
      <c r="E25" s="383">
        <v>1</v>
      </c>
      <c r="F25" s="276">
        <v>30</v>
      </c>
      <c r="G25" s="276" t="s">
        <v>244</v>
      </c>
      <c r="H25" s="504">
        <f>DADOS_CONSULT!$AG$36</f>
        <v>177</v>
      </c>
      <c r="I25" s="489">
        <f t="shared" si="1"/>
        <v>5310</v>
      </c>
    </row>
    <row r="26" spans="2:10" ht="13.5" thickBot="1">
      <c r="B26" s="486"/>
      <c r="C26" s="268"/>
      <c r="D26" s="376"/>
      <c r="E26" s="383"/>
      <c r="F26" s="376"/>
      <c r="G26" s="276"/>
      <c r="H26" s="505"/>
      <c r="I26" s="506">
        <f>SUM(I23:I25)</f>
        <v>13120</v>
      </c>
      <c r="J26" s="264">
        <v>26</v>
      </c>
    </row>
    <row r="27" spans="2:10" ht="13.5" thickBot="1">
      <c r="B27" s="270" t="s">
        <v>150</v>
      </c>
      <c r="C27" s="268"/>
      <c r="D27" s="452"/>
      <c r="E27" s="452" t="s">
        <v>48</v>
      </c>
      <c r="F27" s="452" t="s">
        <v>60</v>
      </c>
      <c r="G27" s="452" t="s">
        <v>552</v>
      </c>
      <c r="H27" s="452" t="s">
        <v>54</v>
      </c>
      <c r="I27" s="507" t="s">
        <v>14</v>
      </c>
    </row>
    <row r="28" spans="2:10" ht="13.5" thickBot="1">
      <c r="B28" s="496" t="str">
        <f>DADOS!H10</f>
        <v>CAMINHONETE - 140 A 165 CV</v>
      </c>
      <c r="C28" s="268"/>
      <c r="D28" s="453"/>
      <c r="E28" s="453">
        <v>1</v>
      </c>
      <c r="F28" s="453">
        <v>20</v>
      </c>
      <c r="G28" s="492">
        <f>F28*E28*8</f>
        <v>160</v>
      </c>
      <c r="H28" s="485">
        <f>DADOS_CONSULT!AF13</f>
        <v>46.14</v>
      </c>
      <c r="I28" s="508">
        <f>H28*G28</f>
        <v>7382.4</v>
      </c>
      <c r="J28" s="264">
        <v>28</v>
      </c>
    </row>
    <row r="29" spans="2:10" ht="13.5" thickBot="1">
      <c r="B29" s="476" t="s">
        <v>559</v>
      </c>
      <c r="C29" s="443"/>
      <c r="D29" s="444"/>
      <c r="E29" s="444"/>
      <c r="F29" s="444"/>
      <c r="G29" s="446"/>
      <c r="H29" s="445"/>
      <c r="I29" s="510">
        <f>I26+I28</f>
        <v>20502.400000000001</v>
      </c>
      <c r="J29" s="264">
        <v>29</v>
      </c>
    </row>
    <row r="30" spans="2:10" ht="13.5" thickBot="1">
      <c r="B30" s="455"/>
      <c r="C30" s="447"/>
      <c r="D30" s="447"/>
      <c r="E30" s="447"/>
      <c r="F30" s="447"/>
      <c r="G30" s="447"/>
      <c r="H30" s="456"/>
      <c r="I30" s="457"/>
    </row>
    <row r="31" spans="2:10" ht="13.5" customHeight="1">
      <c r="B31" s="725" t="s">
        <v>76</v>
      </c>
      <c r="C31" s="735"/>
      <c r="D31" s="735"/>
      <c r="E31" s="735"/>
      <c r="F31" s="735"/>
      <c r="G31" s="735"/>
      <c r="H31" s="735"/>
      <c r="I31" s="509">
        <f>SUM(I14+I20+I29)</f>
        <v>90737.022583681828</v>
      </c>
      <c r="J31" s="264">
        <v>31</v>
      </c>
    </row>
    <row r="32" spans="2:10">
      <c r="B32" s="716"/>
      <c r="C32" s="717"/>
      <c r="D32" s="717"/>
      <c r="E32" s="717"/>
      <c r="F32" s="717"/>
      <c r="G32" s="717"/>
      <c r="H32" s="717"/>
      <c r="I32" s="718"/>
    </row>
    <row r="33" spans="2:10">
      <c r="B33" s="719" t="s">
        <v>38</v>
      </c>
      <c r="C33" s="720"/>
      <c r="D33" s="721"/>
      <c r="E33" s="432"/>
      <c r="F33" s="432"/>
      <c r="G33" s="433"/>
      <c r="H33" s="434"/>
      <c r="I33" s="435"/>
    </row>
    <row r="34" spans="2:10">
      <c r="B34" s="469" t="s">
        <v>561</v>
      </c>
      <c r="C34" s="472"/>
      <c r="D34" s="474"/>
      <c r="E34" s="472"/>
      <c r="F34" s="472"/>
      <c r="G34" s="470"/>
      <c r="H34" s="472"/>
      <c r="I34" s="435"/>
    </row>
    <row r="35" spans="2:10">
      <c r="B35" s="473" t="s">
        <v>553</v>
      </c>
      <c r="C35" s="472"/>
      <c r="D35" s="474"/>
      <c r="E35" s="472"/>
      <c r="F35" s="472"/>
      <c r="G35" s="471">
        <v>0.1</v>
      </c>
      <c r="H35" s="472"/>
      <c r="I35" s="460">
        <f>G35*$I$31</f>
        <v>9073.7022583681828</v>
      </c>
    </row>
    <row r="36" spans="2:10">
      <c r="B36" s="473" t="s">
        <v>554</v>
      </c>
      <c r="C36" s="472"/>
      <c r="D36" s="474"/>
      <c r="E36" s="472"/>
      <c r="F36" s="472"/>
      <c r="G36" s="471">
        <v>2.5000000000000001E-3</v>
      </c>
      <c r="H36" s="472"/>
      <c r="I36" s="460">
        <f t="shared" ref="I36:I38" si="2">G36*$I$31</f>
        <v>226.84255645920459</v>
      </c>
    </row>
    <row r="37" spans="2:10">
      <c r="B37" s="473" t="s">
        <v>555</v>
      </c>
      <c r="C37" s="472"/>
      <c r="D37" s="474"/>
      <c r="E37" s="472"/>
      <c r="F37" s="472"/>
      <c r="G37" s="471">
        <v>7.1999999999999998E-3</v>
      </c>
      <c r="H37" s="472"/>
      <c r="I37" s="460">
        <f t="shared" si="2"/>
        <v>653.30656260250919</v>
      </c>
    </row>
    <row r="38" spans="2:10">
      <c r="B38" s="473" t="s">
        <v>556</v>
      </c>
      <c r="C38" s="472"/>
      <c r="D38" s="474"/>
      <c r="E38" s="472"/>
      <c r="F38" s="472"/>
      <c r="G38" s="471">
        <v>1.4E-3</v>
      </c>
      <c r="H38" s="472"/>
      <c r="I38" s="460">
        <f t="shared" si="2"/>
        <v>127.03183161715455</v>
      </c>
    </row>
    <row r="39" spans="2:10">
      <c r="B39" s="458" t="s">
        <v>560</v>
      </c>
      <c r="C39" s="472"/>
      <c r="D39" s="474"/>
      <c r="E39" s="472"/>
      <c r="F39" s="472"/>
      <c r="G39" s="471">
        <v>0.1111</v>
      </c>
      <c r="H39" s="472"/>
      <c r="I39" s="122">
        <f>SUM(I35:I38)</f>
        <v>10080.883209047051</v>
      </c>
      <c r="J39" s="264">
        <v>39</v>
      </c>
    </row>
    <row r="40" spans="2:10">
      <c r="B40" s="469"/>
      <c r="C40" s="472"/>
      <c r="D40" s="474"/>
      <c r="E40" s="472"/>
      <c r="F40" s="472"/>
      <c r="G40" s="472"/>
      <c r="H40" s="472"/>
      <c r="I40" s="435"/>
    </row>
    <row r="41" spans="2:10">
      <c r="B41" s="469" t="s">
        <v>563</v>
      </c>
      <c r="C41" s="472"/>
      <c r="D41" s="474"/>
      <c r="E41" s="472"/>
      <c r="F41" s="472"/>
      <c r="G41" s="472"/>
      <c r="H41" s="472"/>
      <c r="I41" s="435"/>
    </row>
    <row r="42" spans="2:10">
      <c r="B42" s="469" t="s">
        <v>574</v>
      </c>
      <c r="C42" s="472"/>
      <c r="D42" s="474"/>
      <c r="E42" s="472"/>
      <c r="F42" s="472"/>
      <c r="G42" s="471">
        <v>0.12</v>
      </c>
      <c r="H42" s="472"/>
      <c r="I42" s="459">
        <f>G42*I31</f>
        <v>10888.44271004182</v>
      </c>
      <c r="J42" s="264">
        <v>42</v>
      </c>
    </row>
    <row r="43" spans="2:10">
      <c r="B43" s="469"/>
      <c r="C43" s="472"/>
      <c r="D43" s="474"/>
      <c r="E43" s="472"/>
      <c r="F43" s="472"/>
      <c r="G43" s="472"/>
      <c r="H43" s="472"/>
      <c r="I43" s="435"/>
    </row>
    <row r="44" spans="2:10">
      <c r="B44" s="469" t="s">
        <v>564</v>
      </c>
      <c r="C44" s="472"/>
      <c r="D44" s="474"/>
      <c r="E44" s="472"/>
      <c r="F44" s="472"/>
      <c r="G44" s="471"/>
      <c r="H44" s="472"/>
      <c r="I44" s="435"/>
    </row>
    <row r="45" spans="2:10">
      <c r="B45" s="473" t="s">
        <v>565</v>
      </c>
      <c r="C45" s="472"/>
      <c r="D45" s="474"/>
      <c r="E45" s="472"/>
      <c r="F45" s="472"/>
      <c r="G45" s="471">
        <v>2.3699999999999999E-2</v>
      </c>
      <c r="H45" s="472"/>
      <c r="I45" s="460">
        <f>G45*$I$31</f>
        <v>2150.467435233259</v>
      </c>
    </row>
    <row r="46" spans="2:10">
      <c r="B46" s="473" t="s">
        <v>566</v>
      </c>
      <c r="C46" s="472"/>
      <c r="D46" s="474"/>
      <c r="E46" s="472"/>
      <c r="F46" s="472"/>
      <c r="G46" s="471">
        <v>0.1091</v>
      </c>
      <c r="H46" s="472"/>
      <c r="I46" s="460">
        <f t="shared" ref="I46:I47" si="3">G46*$I$31</f>
        <v>9899.4091638796872</v>
      </c>
    </row>
    <row r="47" spans="2:10">
      <c r="B47" s="473" t="s">
        <v>567</v>
      </c>
      <c r="C47" s="472"/>
      <c r="D47" s="474"/>
      <c r="E47" s="472"/>
      <c r="F47" s="472"/>
      <c r="G47" s="471">
        <v>7.1800000000000003E-2</v>
      </c>
      <c r="H47" s="472"/>
      <c r="I47" s="460">
        <f t="shared" si="3"/>
        <v>6514.9182215083556</v>
      </c>
    </row>
    <row r="48" spans="2:10">
      <c r="B48" s="469"/>
      <c r="C48" s="472"/>
      <c r="D48" s="474"/>
      <c r="E48" s="472"/>
      <c r="F48" s="472"/>
      <c r="G48" s="470"/>
      <c r="H48" s="472"/>
      <c r="I48" s="122">
        <f>SUM(I45:I47)</f>
        <v>18564.7948206213</v>
      </c>
      <c r="J48" s="264">
        <v>48</v>
      </c>
    </row>
    <row r="49" spans="2:13">
      <c r="B49" s="722"/>
      <c r="C49" s="723"/>
      <c r="D49" s="723"/>
      <c r="E49" s="723"/>
      <c r="F49" s="723"/>
      <c r="G49" s="723"/>
      <c r="H49" s="723"/>
      <c r="I49" s="724"/>
      <c r="M49" s="267"/>
    </row>
    <row r="50" spans="2:13" ht="13.5" customHeight="1">
      <c r="B50" s="725" t="s">
        <v>166</v>
      </c>
      <c r="C50" s="726"/>
      <c r="D50" s="726"/>
      <c r="E50" s="726"/>
      <c r="F50" s="726"/>
      <c r="G50" s="726"/>
      <c r="H50" s="726"/>
      <c r="I50" s="192">
        <f>I39+I42+I48</f>
        <v>39534.120739710168</v>
      </c>
      <c r="J50" s="264">
        <v>50</v>
      </c>
    </row>
    <row r="51" spans="2:13" s="266" customFormat="1">
      <c r="B51" s="727"/>
      <c r="C51" s="728"/>
      <c r="D51" s="728"/>
      <c r="E51" s="728"/>
      <c r="F51" s="728"/>
      <c r="G51" s="728"/>
      <c r="H51" s="728"/>
      <c r="I51" s="729"/>
    </row>
    <row r="52" spans="2:13" ht="14.25" customHeight="1">
      <c r="B52" s="727"/>
      <c r="C52" s="728"/>
      <c r="D52" s="728"/>
      <c r="E52" s="728"/>
      <c r="F52" s="728"/>
      <c r="G52" s="728"/>
      <c r="H52" s="728"/>
      <c r="I52" s="729"/>
      <c r="J52" s="265"/>
    </row>
    <row r="53" spans="2:13" ht="13.5" thickBot="1">
      <c r="B53" s="730" t="s">
        <v>167</v>
      </c>
      <c r="C53" s="731"/>
      <c r="D53" s="731"/>
      <c r="E53" s="731"/>
      <c r="F53" s="731"/>
      <c r="G53" s="731"/>
      <c r="H53" s="731"/>
      <c r="I53" s="81">
        <f>I31+I50</f>
        <v>130271.143323392</v>
      </c>
    </row>
    <row r="54" spans="2:13" ht="13.5" thickBot="1">
      <c r="B54" s="461"/>
      <c r="C54" s="463"/>
      <c r="D54" s="463"/>
      <c r="E54" s="463"/>
      <c r="F54" s="463"/>
      <c r="G54" s="463"/>
      <c r="H54" s="463"/>
      <c r="I54" s="464"/>
    </row>
    <row r="55" spans="2:13">
      <c r="B55" s="710" t="s">
        <v>140</v>
      </c>
      <c r="C55" s="711"/>
      <c r="D55" s="711"/>
      <c r="E55" s="711"/>
      <c r="F55" s="711"/>
      <c r="G55" s="711"/>
      <c r="H55" s="711"/>
      <c r="I55" s="712"/>
    </row>
    <row r="56" spans="2:13" ht="13.5" customHeight="1">
      <c r="B56" s="713" t="s">
        <v>268</v>
      </c>
      <c r="C56" s="714"/>
      <c r="D56" s="714"/>
      <c r="E56" s="714"/>
      <c r="F56" s="714"/>
      <c r="G56" s="714"/>
      <c r="H56" s="714"/>
      <c r="I56" s="715"/>
    </row>
    <row r="57" spans="2:13" ht="16.5" customHeight="1">
      <c r="B57" s="701" t="s">
        <v>317</v>
      </c>
      <c r="C57" s="702"/>
      <c r="D57" s="702"/>
      <c r="E57" s="702"/>
      <c r="F57" s="702"/>
      <c r="G57" s="702"/>
      <c r="H57" s="702"/>
      <c r="I57" s="703"/>
    </row>
    <row r="58" spans="2:13" ht="7.5" customHeight="1" thickBot="1">
      <c r="B58" s="704"/>
      <c r="C58" s="705"/>
      <c r="D58" s="705"/>
      <c r="E58" s="705"/>
      <c r="F58" s="705"/>
      <c r="G58" s="705"/>
      <c r="H58" s="705"/>
      <c r="I58" s="706"/>
    </row>
  </sheetData>
  <mergeCells count="22">
    <mergeCell ref="B56:I56"/>
    <mergeCell ref="B57:I57"/>
    <mergeCell ref="B58:I58"/>
    <mergeCell ref="B49:I49"/>
    <mergeCell ref="B50:H50"/>
    <mergeCell ref="B51:I51"/>
    <mergeCell ref="B55:I55"/>
    <mergeCell ref="B52:I52"/>
    <mergeCell ref="B53:H53"/>
    <mergeCell ref="B7:C7"/>
    <mergeCell ref="B21:I21"/>
    <mergeCell ref="B31:H31"/>
    <mergeCell ref="B32:I32"/>
    <mergeCell ref="B33:D33"/>
    <mergeCell ref="B6:C6"/>
    <mergeCell ref="E6:G6"/>
    <mergeCell ref="H6:I6"/>
    <mergeCell ref="B1:I1"/>
    <mergeCell ref="B2:I2"/>
    <mergeCell ref="B3:I3"/>
    <mergeCell ref="C4:I4"/>
    <mergeCell ref="C5:I5"/>
  </mergeCells>
  <pageMargins left="0.511811024" right="0.511811024" top="0.78740157499999996" bottom="0.78740157499999996" header="0.31496062000000002" footer="0.31496062000000002"/>
  <pageSetup paperSize="9" scale="8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12</vt:i4>
      </vt:variant>
    </vt:vector>
  </HeadingPairs>
  <TitlesOfParts>
    <vt:vector size="26" baseType="lpstr">
      <vt:lpstr>DADOS</vt:lpstr>
      <vt:lpstr>DESPESAS GERAIS</vt:lpstr>
      <vt:lpstr>PROPOSTA DE PREÇOS POR PRODUTO</vt:lpstr>
      <vt:lpstr>DADOS_CONSULT</vt:lpstr>
      <vt:lpstr>CRONOGRAMA FÍSICO FINANCEIRO</vt:lpstr>
      <vt:lpstr>ORÇAMENTO</vt:lpstr>
      <vt:lpstr>CENTRAL-PBA</vt:lpstr>
      <vt:lpstr>CENTRAL-Campanhas de Fauna</vt:lpstr>
      <vt:lpstr>CENTRAL-Invent. Florestal - ASV</vt:lpstr>
      <vt:lpstr>CENTRAL-Malarígeno</vt:lpstr>
      <vt:lpstr>CENTRAL-Projeto Arqueológico</vt:lpstr>
      <vt:lpstr>CENTRAL-PBAI</vt:lpstr>
      <vt:lpstr>POLU ATMOSF</vt:lpstr>
      <vt:lpstr>CENTRAL-OUTORGA</vt:lpstr>
      <vt:lpstr>'CENTRAL-Campanhas de Fauna'!Area_de_impressao</vt:lpstr>
      <vt:lpstr>'CENTRAL-Invent. Florestal - ASV'!Area_de_impressao</vt:lpstr>
      <vt:lpstr>'CENTRAL-OUTORGA'!Area_de_impressao</vt:lpstr>
      <vt:lpstr>'CENTRAL-PBA'!Area_de_impressao</vt:lpstr>
      <vt:lpstr>'CENTRAL-PBAI'!Area_de_impressao</vt:lpstr>
      <vt:lpstr>'CENTRAL-Projeto Arqueológico'!Area_de_impressao</vt:lpstr>
      <vt:lpstr>'CRONOGRAMA FÍSICO FINANCEIRO'!Area_de_impressao</vt:lpstr>
      <vt:lpstr>DADOS!Area_de_impressao</vt:lpstr>
      <vt:lpstr>'DESPESAS GERAIS'!Area_de_impressao</vt:lpstr>
      <vt:lpstr>ORÇAMENTO!Area_de_impressao</vt:lpstr>
      <vt:lpstr>'POLU ATMOSF'!Area_de_impressao</vt:lpstr>
      <vt:lpstr>'PROPOSTA DE PREÇOS POR PRODUTO'!Area_de_impressao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leonardo.rodrigues@epl.gov.br</dc:creator>
  <cp:lastModifiedBy>Júlia Mendes Alburquerque Peixoto</cp:lastModifiedBy>
  <cp:lastPrinted>2020-09-11T21:57:14Z</cp:lastPrinted>
  <dcterms:created xsi:type="dcterms:W3CDTF">2001-05-21T17:32:49Z</dcterms:created>
  <dcterms:modified xsi:type="dcterms:W3CDTF">2021-02-05T17:51:13Z</dcterms:modified>
</cp:coreProperties>
</file>